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https://d.docs.live.net/d096b4e9db648c65/Documents/African Plant Hunter/Consultancies/Kenya/Malawi Briquette Plan/"/>
    </mc:Choice>
  </mc:AlternateContent>
  <xr:revisionPtr revIDLastSave="819" documentId="8_{B68C21E3-0B42-234B-A12B-FCFFBD0C57FF}" xr6:coauthVersionLast="47" xr6:coauthVersionMax="47" xr10:uidLastSave="{A135D110-D431-2E42-8E9C-8DEE99E76116}"/>
  <bookViews>
    <workbookView xWindow="3940" yWindow="880" windowWidth="31520" windowHeight="20260" xr2:uid="{00000000-000D-0000-FFFF-FFFF00000000}"/>
  </bookViews>
  <sheets>
    <sheet name="Financial model (Summary)" sheetId="15" r:id="rId1"/>
    <sheet name="Financial model (Detail)" sheetId="2" r:id="rId2"/>
    <sheet name="Assumptions" sheetId="10" r:id="rId3"/>
    <sheet name="Fixed costs" sheetId="13" r:id="rId4"/>
    <sheet name="Chart - cashflow" sheetId="8" r:id="rId5"/>
    <sheet name="Chart - Cumulative cashflow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5" l="1"/>
  <c r="F23" i="15"/>
  <c r="G23" i="15"/>
  <c r="H23" i="15"/>
  <c r="D23" i="15"/>
  <c r="V53" i="2"/>
  <c r="S53" i="2"/>
  <c r="P53" i="2"/>
  <c r="M53" i="2"/>
  <c r="J53" i="2"/>
  <c r="G25" i="2"/>
  <c r="E15" i="2"/>
  <c r="F15" i="2"/>
  <c r="I15" i="2" s="1"/>
  <c r="L15" i="2" s="1"/>
  <c r="O15" i="2" s="1"/>
  <c r="R15" i="2" s="1"/>
  <c r="U15" i="2" s="1"/>
  <c r="F16" i="2"/>
  <c r="I16" i="2" s="1"/>
  <c r="L16" i="2" s="1"/>
  <c r="O16" i="2" s="1"/>
  <c r="R16" i="2" s="1"/>
  <c r="U16" i="2" s="1"/>
  <c r="E16" i="2"/>
  <c r="C18" i="15"/>
  <c r="C14" i="15"/>
  <c r="C13" i="15"/>
  <c r="C10" i="15"/>
  <c r="E17" i="15"/>
  <c r="F17" i="15" s="1"/>
  <c r="G17" i="15" s="1"/>
  <c r="H17" i="15" s="1"/>
  <c r="I25" i="13"/>
  <c r="J25" i="13" s="1"/>
  <c r="I26" i="13"/>
  <c r="J26" i="13" s="1"/>
  <c r="J23" i="13"/>
  <c r="J22" i="13"/>
  <c r="I24" i="13"/>
  <c r="J24" i="13" s="1"/>
  <c r="I23" i="13"/>
  <c r="L23" i="13" s="1"/>
  <c r="O23" i="13" s="1"/>
  <c r="R23" i="13" s="1"/>
  <c r="I22" i="13"/>
  <c r="I8" i="13"/>
  <c r="L8" i="13" s="1"/>
  <c r="I9" i="13"/>
  <c r="J9" i="13" s="1"/>
  <c r="I10" i="13"/>
  <c r="J10" i="13" s="1"/>
  <c r="I11" i="13"/>
  <c r="L11" i="13" s="1"/>
  <c r="I12" i="13"/>
  <c r="L12" i="13" s="1"/>
  <c r="I13" i="13"/>
  <c r="J13" i="13" s="1"/>
  <c r="I14" i="13"/>
  <c r="J14" i="13" s="1"/>
  <c r="I15" i="13"/>
  <c r="L15" i="13" s="1"/>
  <c r="I16" i="13"/>
  <c r="L16" i="13" s="1"/>
  <c r="I17" i="13"/>
  <c r="J17" i="13" s="1"/>
  <c r="I7" i="13"/>
  <c r="J7" i="13" s="1"/>
  <c r="G8" i="13"/>
  <c r="G9" i="13"/>
  <c r="G10" i="13"/>
  <c r="G11" i="13"/>
  <c r="G12" i="13"/>
  <c r="G13" i="13"/>
  <c r="G14" i="13"/>
  <c r="G15" i="13"/>
  <c r="G16" i="13"/>
  <c r="G17" i="13"/>
  <c r="G7" i="13"/>
  <c r="K27" i="13"/>
  <c r="N27" i="13" s="1"/>
  <c r="Q27" i="13" s="1"/>
  <c r="I27" i="13"/>
  <c r="L27" i="13" s="1"/>
  <c r="O27" i="13" s="1"/>
  <c r="R27" i="13" s="1"/>
  <c r="U27" i="13" s="1"/>
  <c r="L26" i="13"/>
  <c r="O26" i="13" s="1"/>
  <c r="R26" i="13" s="1"/>
  <c r="U26" i="13" s="1"/>
  <c r="K26" i="13"/>
  <c r="K25" i="13"/>
  <c r="T24" i="13"/>
  <c r="Q24" i="13"/>
  <c r="N24" i="13"/>
  <c r="K24" i="13"/>
  <c r="T23" i="13"/>
  <c r="Q23" i="13"/>
  <c r="N23" i="13"/>
  <c r="K23" i="13"/>
  <c r="N22" i="13"/>
  <c r="Q22" i="13" s="1"/>
  <c r="T22" i="13" s="1"/>
  <c r="L22" i="13"/>
  <c r="G18" i="13" l="1"/>
  <c r="G31" i="13" s="1"/>
  <c r="G54" i="2" s="1"/>
  <c r="G15" i="2"/>
  <c r="G16" i="2"/>
  <c r="L24" i="13"/>
  <c r="O24" i="13" s="1"/>
  <c r="R24" i="13" s="1"/>
  <c r="S24" i="13" s="1"/>
  <c r="J27" i="13"/>
  <c r="L10" i="13"/>
  <c r="O10" i="13" s="1"/>
  <c r="P10" i="13" s="1"/>
  <c r="J11" i="13"/>
  <c r="J16" i="13"/>
  <c r="J8" i="13"/>
  <c r="L14" i="13"/>
  <c r="J15" i="13"/>
  <c r="M10" i="13"/>
  <c r="J12" i="13"/>
  <c r="M12" i="13"/>
  <c r="O12" i="13"/>
  <c r="M15" i="13"/>
  <c r="O15" i="13"/>
  <c r="M16" i="13"/>
  <c r="O16" i="13"/>
  <c r="M8" i="13"/>
  <c r="O8" i="13"/>
  <c r="M11" i="13"/>
  <c r="O11" i="13"/>
  <c r="L13" i="13"/>
  <c r="L7" i="13"/>
  <c r="L9" i="13"/>
  <c r="L17" i="13"/>
  <c r="R10" i="13"/>
  <c r="P23" i="13"/>
  <c r="M23" i="13"/>
  <c r="L25" i="13"/>
  <c r="O25" i="13" s="1"/>
  <c r="R25" i="13" s="1"/>
  <c r="U25" i="13" s="1"/>
  <c r="N25" i="13"/>
  <c r="O22" i="13"/>
  <c r="R22" i="13" s="1"/>
  <c r="U22" i="13" s="1"/>
  <c r="V22" i="13" s="1"/>
  <c r="M22" i="13"/>
  <c r="U23" i="13"/>
  <c r="V23" i="13" s="1"/>
  <c r="S23" i="13"/>
  <c r="M27" i="13"/>
  <c r="M26" i="13"/>
  <c r="N26" i="13"/>
  <c r="T27" i="13"/>
  <c r="V27" i="13" s="1"/>
  <c r="S27" i="13"/>
  <c r="J28" i="13"/>
  <c r="P27" i="13"/>
  <c r="C22" i="15" l="1"/>
  <c r="U24" i="13"/>
  <c r="V24" i="13" s="1"/>
  <c r="M24" i="13"/>
  <c r="P24" i="13"/>
  <c r="S22" i="13"/>
  <c r="M14" i="13"/>
  <c r="O14" i="13"/>
  <c r="P15" i="13"/>
  <c r="R15" i="13"/>
  <c r="M7" i="13"/>
  <c r="O7" i="13"/>
  <c r="P11" i="13"/>
  <c r="R11" i="13"/>
  <c r="M9" i="13"/>
  <c r="O9" i="13"/>
  <c r="P8" i="13"/>
  <c r="R8" i="13"/>
  <c r="S10" i="13"/>
  <c r="U10" i="13"/>
  <c r="V10" i="13" s="1"/>
  <c r="M13" i="13"/>
  <c r="O13" i="13"/>
  <c r="P16" i="13"/>
  <c r="R16" i="13"/>
  <c r="P12" i="13"/>
  <c r="R12" i="13"/>
  <c r="M17" i="13"/>
  <c r="O17" i="13"/>
  <c r="M25" i="13"/>
  <c r="P22" i="13"/>
  <c r="P25" i="13"/>
  <c r="Q25" i="13"/>
  <c r="P26" i="13"/>
  <c r="Q26" i="13"/>
  <c r="P14" i="13" l="1"/>
  <c r="R14" i="13"/>
  <c r="P17" i="13"/>
  <c r="R17" i="13"/>
  <c r="S16" i="13"/>
  <c r="U16" i="13"/>
  <c r="V16" i="13" s="1"/>
  <c r="P9" i="13"/>
  <c r="R9" i="13"/>
  <c r="P7" i="13"/>
  <c r="R7" i="13"/>
  <c r="S15" i="13"/>
  <c r="U15" i="13"/>
  <c r="V15" i="13" s="1"/>
  <c r="S12" i="13"/>
  <c r="U12" i="13"/>
  <c r="V12" i="13" s="1"/>
  <c r="P13" i="13"/>
  <c r="R13" i="13"/>
  <c r="S8" i="13"/>
  <c r="U8" i="13"/>
  <c r="V8" i="13" s="1"/>
  <c r="S11" i="13"/>
  <c r="U11" i="13"/>
  <c r="V11" i="13" s="1"/>
  <c r="P28" i="13"/>
  <c r="M28" i="13"/>
  <c r="S25" i="13"/>
  <c r="T25" i="13"/>
  <c r="V25" i="13" s="1"/>
  <c r="T26" i="13"/>
  <c r="V26" i="13" s="1"/>
  <c r="S26" i="13"/>
  <c r="F17" i="2"/>
  <c r="F18" i="2"/>
  <c r="S28" i="13" l="1"/>
  <c r="V28" i="13"/>
  <c r="S14" i="13"/>
  <c r="U14" i="13"/>
  <c r="V14" i="13" s="1"/>
  <c r="S13" i="13"/>
  <c r="U13" i="13"/>
  <c r="V13" i="13" s="1"/>
  <c r="S9" i="13"/>
  <c r="U9" i="13"/>
  <c r="V9" i="13" s="1"/>
  <c r="S17" i="13"/>
  <c r="U17" i="13"/>
  <c r="V17" i="13" s="1"/>
  <c r="S7" i="13"/>
  <c r="U7" i="13"/>
  <c r="V7" i="13" s="1"/>
  <c r="P18" i="13"/>
  <c r="P31" i="13" s="1"/>
  <c r="M18" i="13"/>
  <c r="M31" i="13" s="1"/>
  <c r="J18" i="13"/>
  <c r="J31" i="13" s="1"/>
  <c r="I32" i="2"/>
  <c r="I31" i="2"/>
  <c r="E22" i="15" l="1"/>
  <c r="M54" i="2"/>
  <c r="M55" i="2" s="1"/>
  <c r="P54" i="2"/>
  <c r="P55" i="2" s="1"/>
  <c r="F22" i="15"/>
  <c r="J54" i="2"/>
  <c r="J55" i="2" s="1"/>
  <c r="D22" i="15"/>
  <c r="V31" i="13"/>
  <c r="V54" i="2" s="1"/>
  <c r="V55" i="2" s="1"/>
  <c r="V18" i="13"/>
  <c r="S18" i="13"/>
  <c r="S31" i="13" s="1"/>
  <c r="G22" i="15" l="1"/>
  <c r="S54" i="2"/>
  <c r="S55" i="2" s="1"/>
  <c r="H22" i="15"/>
  <c r="E13" i="2"/>
  <c r="H31" i="2"/>
  <c r="H37" i="2" l="1"/>
  <c r="H36" i="2"/>
  <c r="I49" i="2"/>
  <c r="L49" i="2" s="1"/>
  <c r="O49" i="2" s="1"/>
  <c r="F24" i="2"/>
  <c r="F23" i="2"/>
  <c r="F22" i="2"/>
  <c r="F20" i="2"/>
  <c r="F21" i="2"/>
  <c r="F19" i="2"/>
  <c r="H49" i="2"/>
  <c r="H16" i="2" l="1"/>
  <c r="J16" i="2" s="1"/>
  <c r="H15" i="2"/>
  <c r="J15" i="2" s="1"/>
  <c r="H40" i="2"/>
  <c r="J31" i="2"/>
  <c r="H13" i="2"/>
  <c r="K36" i="2"/>
  <c r="N36" i="2" s="1"/>
  <c r="Q36" i="2" s="1"/>
  <c r="T36" i="2" s="1"/>
  <c r="K37" i="2"/>
  <c r="N37" i="2" s="1"/>
  <c r="Q37" i="2" s="1"/>
  <c r="T37" i="2" s="1"/>
  <c r="E14" i="2"/>
  <c r="H14" i="2" s="1"/>
  <c r="E20" i="2"/>
  <c r="B63" i="2"/>
  <c r="B64" i="2" l="1"/>
  <c r="H32" i="2"/>
  <c r="B65" i="2" l="1"/>
  <c r="B66" i="2" l="1"/>
  <c r="I36" i="2"/>
  <c r="I34" i="2"/>
  <c r="H34" i="2"/>
  <c r="H35" i="2"/>
  <c r="I37" i="2" l="1"/>
  <c r="I35" i="2" l="1"/>
  <c r="H39" i="2" l="1"/>
  <c r="M48" i="2" l="1"/>
  <c r="L48" i="2"/>
  <c r="K48" i="2"/>
  <c r="I33" i="2"/>
  <c r="H38" i="2" l="1"/>
  <c r="I38" i="2" l="1"/>
  <c r="I39" i="2"/>
  <c r="J39" i="2" s="1"/>
  <c r="I40" i="2"/>
  <c r="J40" i="2" s="1"/>
  <c r="G21" i="2" l="1"/>
  <c r="G19" i="2"/>
  <c r="G23" i="2"/>
  <c r="G18" i="2"/>
  <c r="G22" i="2"/>
  <c r="G17" i="2"/>
  <c r="G14" i="2"/>
  <c r="G13" i="2"/>
  <c r="J32" i="2" l="1"/>
  <c r="J49" i="2"/>
  <c r="D18" i="15" s="1"/>
  <c r="D19" i="15" s="1"/>
  <c r="J34" i="2"/>
  <c r="J35" i="2"/>
  <c r="J37" i="2"/>
  <c r="J36" i="2"/>
  <c r="J38" i="2"/>
  <c r="J33" i="2"/>
  <c r="J41" i="2" l="1"/>
  <c r="D10" i="15" s="1"/>
  <c r="L31" i="2"/>
  <c r="O31" i="2" s="1"/>
  <c r="R31" i="2" s="1"/>
  <c r="U31" i="2" s="1"/>
  <c r="I13" i="2"/>
  <c r="L13" i="2" s="1"/>
  <c r="O13" i="2" s="1"/>
  <c r="R13" i="2" s="1"/>
  <c r="U13" i="2" s="1"/>
  <c r="I19" i="2"/>
  <c r="I20" i="2"/>
  <c r="L32" i="2"/>
  <c r="O32" i="2" s="1"/>
  <c r="R32" i="2" s="1"/>
  <c r="U32" i="2" s="1"/>
  <c r="I18" i="2"/>
  <c r="I17" i="2"/>
  <c r="L17" i="2" s="1"/>
  <c r="O17" i="2" s="1"/>
  <c r="R17" i="2" s="1"/>
  <c r="U17" i="2" s="1"/>
  <c r="I21" i="2"/>
  <c r="I14" i="2"/>
  <c r="L14" i="2" s="1"/>
  <c r="O14" i="2" s="1"/>
  <c r="R14" i="2" s="1"/>
  <c r="U14" i="2" s="1"/>
  <c r="L34" i="2"/>
  <c r="O34" i="2" s="1"/>
  <c r="R34" i="2" s="1"/>
  <c r="U34" i="2" s="1"/>
  <c r="L36" i="2"/>
  <c r="O36" i="2" s="1"/>
  <c r="R36" i="2" s="1"/>
  <c r="U36" i="2" s="1"/>
  <c r="L37" i="2"/>
  <c r="O37" i="2" s="1"/>
  <c r="R37" i="2" s="1"/>
  <c r="U37" i="2" s="1"/>
  <c r="L35" i="2"/>
  <c r="O35" i="2" s="1"/>
  <c r="R35" i="2" s="1"/>
  <c r="U35" i="2" s="1"/>
  <c r="L33" i="2"/>
  <c r="O33" i="2" s="1"/>
  <c r="R33" i="2" s="1"/>
  <c r="U33" i="2" s="1"/>
  <c r="L38" i="2"/>
  <c r="O38" i="2" s="1"/>
  <c r="R38" i="2" s="1"/>
  <c r="U38" i="2" s="1"/>
  <c r="L39" i="2"/>
  <c r="O39" i="2" s="1"/>
  <c r="R39" i="2" s="1"/>
  <c r="U39" i="2" s="1"/>
  <c r="L40" i="2"/>
  <c r="O40" i="2" s="1"/>
  <c r="R40" i="2" s="1"/>
  <c r="U40" i="2" s="1"/>
  <c r="G24" i="2"/>
  <c r="G20" i="2"/>
  <c r="J44" i="2" l="1"/>
  <c r="D13" i="15" s="1"/>
  <c r="G26" i="2"/>
  <c r="L19" i="2"/>
  <c r="J19" i="2"/>
  <c r="L20" i="2"/>
  <c r="O20" i="2" s="1"/>
  <c r="R20" i="2" s="1"/>
  <c r="U20" i="2" s="1"/>
  <c r="J20" i="2"/>
  <c r="L21" i="2"/>
  <c r="J21" i="2"/>
  <c r="L18" i="2"/>
  <c r="K32" i="2"/>
  <c r="K49" i="2"/>
  <c r="K38" i="2"/>
  <c r="K33" i="2"/>
  <c r="K39" i="2"/>
  <c r="K31" i="2"/>
  <c r="K16" i="2" l="1"/>
  <c r="M16" i="2" s="1"/>
  <c r="K15" i="2"/>
  <c r="M15" i="2" s="1"/>
  <c r="G27" i="2"/>
  <c r="G28" i="2" s="1"/>
  <c r="C7" i="15" s="1"/>
  <c r="C12" i="15" s="1"/>
  <c r="C15" i="15" s="1"/>
  <c r="C21" i="15" s="1"/>
  <c r="C24" i="15" s="1"/>
  <c r="C25" i="15" s="1"/>
  <c r="J18" i="2"/>
  <c r="K14" i="2"/>
  <c r="K13" i="2"/>
  <c r="M33" i="2"/>
  <c r="N33" i="2"/>
  <c r="N39" i="2"/>
  <c r="M39" i="2"/>
  <c r="O18" i="2"/>
  <c r="M37" i="2"/>
  <c r="M36" i="2"/>
  <c r="K34" i="2"/>
  <c r="M34" i="2" s="1"/>
  <c r="K40" i="2"/>
  <c r="M40" i="2" s="1"/>
  <c r="K35" i="2"/>
  <c r="M35" i="2" s="1"/>
  <c r="J14" i="2"/>
  <c r="J13" i="2"/>
  <c r="N49" i="2"/>
  <c r="M49" i="2"/>
  <c r="O19" i="2"/>
  <c r="M19" i="2"/>
  <c r="R49" i="2"/>
  <c r="M32" i="2"/>
  <c r="N32" i="2"/>
  <c r="M38" i="2"/>
  <c r="N38" i="2"/>
  <c r="M21" i="2"/>
  <c r="O21" i="2"/>
  <c r="M31" i="2"/>
  <c r="N31" i="2"/>
  <c r="P48" i="2"/>
  <c r="O48" i="2"/>
  <c r="N48" i="2"/>
  <c r="N16" i="2" l="1"/>
  <c r="P16" i="2" s="1"/>
  <c r="N15" i="2"/>
  <c r="P15" i="2" s="1"/>
  <c r="M50" i="2"/>
  <c r="E18" i="15"/>
  <c r="E19" i="15" s="1"/>
  <c r="M41" i="2"/>
  <c r="E10" i="15" s="1"/>
  <c r="M18" i="2"/>
  <c r="N14" i="2"/>
  <c r="N13" i="2"/>
  <c r="P49" i="2"/>
  <c r="P32" i="2"/>
  <c r="Q32" i="2"/>
  <c r="P36" i="2"/>
  <c r="U49" i="2"/>
  <c r="P39" i="2"/>
  <c r="Q39" i="2"/>
  <c r="P38" i="2"/>
  <c r="Q38" i="2"/>
  <c r="P33" i="2"/>
  <c r="Q33" i="2"/>
  <c r="J17" i="2"/>
  <c r="M44" i="2" s="1"/>
  <c r="E13" i="15" s="1"/>
  <c r="P21" i="2"/>
  <c r="R21" i="2"/>
  <c r="P37" i="2"/>
  <c r="P31" i="2"/>
  <c r="Q31" i="2"/>
  <c r="R18" i="2"/>
  <c r="P19" i="2"/>
  <c r="R19" i="2"/>
  <c r="Q49" i="2"/>
  <c r="N40" i="2"/>
  <c r="P40" i="2" s="1"/>
  <c r="M13" i="2"/>
  <c r="N35" i="2"/>
  <c r="P35" i="2" s="1"/>
  <c r="N34" i="2"/>
  <c r="P34" i="2" s="1"/>
  <c r="M20" i="2"/>
  <c r="M14" i="2"/>
  <c r="J50" i="2"/>
  <c r="Q48" i="2"/>
  <c r="R48" i="2"/>
  <c r="S48" i="2"/>
  <c r="Q16" i="2" l="1"/>
  <c r="S16" i="2" s="1"/>
  <c r="Q15" i="2"/>
  <c r="S15" i="2" s="1"/>
  <c r="P50" i="2"/>
  <c r="F18" i="15"/>
  <c r="F19" i="15" s="1"/>
  <c r="J25" i="2"/>
  <c r="J26" i="2" s="1"/>
  <c r="J27" i="2" s="1"/>
  <c r="G43" i="2"/>
  <c r="G46" i="2" s="1"/>
  <c r="G52" i="2" s="1"/>
  <c r="G56" i="2" s="1"/>
  <c r="C61" i="2" s="1"/>
  <c r="P18" i="2"/>
  <c r="Q13" i="2"/>
  <c r="Q14" i="2"/>
  <c r="S39" i="2"/>
  <c r="T39" i="2"/>
  <c r="S31" i="2"/>
  <c r="T31" i="2"/>
  <c r="S38" i="2"/>
  <c r="T38" i="2"/>
  <c r="U18" i="2"/>
  <c r="S36" i="2"/>
  <c r="S33" i="2"/>
  <c r="T33" i="2"/>
  <c r="S37" i="2"/>
  <c r="U21" i="2"/>
  <c r="S21" i="2"/>
  <c r="P20" i="2"/>
  <c r="Q40" i="2"/>
  <c r="S40" i="2" s="1"/>
  <c r="Q35" i="2"/>
  <c r="S35" i="2" s="1"/>
  <c r="Q34" i="2"/>
  <c r="S34" i="2" s="1"/>
  <c r="P14" i="2"/>
  <c r="P13" i="2"/>
  <c r="T49" i="2"/>
  <c r="M17" i="2"/>
  <c r="P44" i="2" s="1"/>
  <c r="F13" i="15" s="1"/>
  <c r="S49" i="2"/>
  <c r="S32" i="2"/>
  <c r="T32" i="2"/>
  <c r="U19" i="2"/>
  <c r="S19" i="2"/>
  <c r="P41" i="2"/>
  <c r="F10" i="15" s="1"/>
  <c r="T48" i="2"/>
  <c r="U48" i="2"/>
  <c r="V48" i="2"/>
  <c r="T16" i="2" l="1"/>
  <c r="V16" i="2" s="1"/>
  <c r="T15" i="2"/>
  <c r="V15" i="2" s="1"/>
  <c r="S50" i="2"/>
  <c r="G18" i="15"/>
  <c r="G19" i="15" s="1"/>
  <c r="M25" i="2"/>
  <c r="M26" i="2" s="1"/>
  <c r="M27" i="2" s="1"/>
  <c r="G57" i="2"/>
  <c r="T13" i="2"/>
  <c r="S18" i="2"/>
  <c r="T14" i="2"/>
  <c r="J28" i="2"/>
  <c r="V36" i="2"/>
  <c r="V38" i="2"/>
  <c r="V33" i="2"/>
  <c r="S41" i="2"/>
  <c r="G10" i="15" s="1"/>
  <c r="V21" i="2"/>
  <c r="V37" i="2"/>
  <c r="P17" i="2"/>
  <c r="S44" i="2" s="1"/>
  <c r="G13" i="15" s="1"/>
  <c r="V39" i="2"/>
  <c r="S13" i="2"/>
  <c r="T34" i="2"/>
  <c r="V34" i="2" s="1"/>
  <c r="T35" i="2"/>
  <c r="V35" i="2" s="1"/>
  <c r="T40" i="2"/>
  <c r="V40" i="2" s="1"/>
  <c r="S14" i="2"/>
  <c r="S20" i="2"/>
  <c r="V49" i="2"/>
  <c r="V19" i="2"/>
  <c r="V32" i="2"/>
  <c r="V31" i="2"/>
  <c r="J43" i="2" l="1"/>
  <c r="J45" i="2" s="1"/>
  <c r="D14" i="15" s="1"/>
  <c r="D7" i="15"/>
  <c r="D12" i="15" s="1"/>
  <c r="V50" i="2"/>
  <c r="H18" i="15"/>
  <c r="H19" i="15" s="1"/>
  <c r="P25" i="2"/>
  <c r="P26" i="2" s="1"/>
  <c r="P27" i="2" s="1"/>
  <c r="E61" i="2"/>
  <c r="D61" i="2"/>
  <c r="V18" i="2"/>
  <c r="M28" i="2"/>
  <c r="E7" i="15" s="1"/>
  <c r="E12" i="15" s="1"/>
  <c r="V41" i="2"/>
  <c r="H10" i="15" s="1"/>
  <c r="V20" i="2"/>
  <c r="V14" i="2"/>
  <c r="V13" i="2"/>
  <c r="S17" i="2"/>
  <c r="V44" i="2" s="1"/>
  <c r="H13" i="15" s="1"/>
  <c r="D15" i="15" l="1"/>
  <c r="D21" i="15" s="1"/>
  <c r="D24" i="15" s="1"/>
  <c r="D25" i="15" s="1"/>
  <c r="S25" i="2"/>
  <c r="S26" i="2" s="1"/>
  <c r="S27" i="2" s="1"/>
  <c r="M43" i="2"/>
  <c r="M45" i="2" s="1"/>
  <c r="E14" i="15" s="1"/>
  <c r="E15" i="15" s="1"/>
  <c r="E21" i="15" s="1"/>
  <c r="E24" i="15" s="1"/>
  <c r="E25" i="15" s="1"/>
  <c r="P28" i="2"/>
  <c r="F7" i="15" s="1"/>
  <c r="F12" i="15" s="1"/>
  <c r="V17" i="2"/>
  <c r="V25" i="2" l="1"/>
  <c r="V26" i="2" s="1"/>
  <c r="P43" i="2"/>
  <c r="P45" i="2" s="1"/>
  <c r="F14" i="15" s="1"/>
  <c r="F15" i="15" s="1"/>
  <c r="F21" i="15" s="1"/>
  <c r="F24" i="15" s="1"/>
  <c r="F25" i="15" s="1"/>
  <c r="S28" i="2"/>
  <c r="S43" i="2" l="1"/>
  <c r="S45" i="2" s="1"/>
  <c r="G14" i="15" s="1"/>
  <c r="G7" i="15"/>
  <c r="G12" i="15" s="1"/>
  <c r="G15" i="15" s="1"/>
  <c r="G21" i="15" s="1"/>
  <c r="G24" i="15" s="1"/>
  <c r="G25" i="15" s="1"/>
  <c r="V27" i="2"/>
  <c r="V28" i="2" s="1"/>
  <c r="H7" i="15" s="1"/>
  <c r="H12" i="15" s="1"/>
  <c r="V43" i="2" l="1"/>
  <c r="V45" i="2" s="1"/>
  <c r="H14" i="15" s="1"/>
  <c r="H15" i="15" s="1"/>
  <c r="H21" i="15" s="1"/>
  <c r="H24" i="15" s="1"/>
  <c r="H25" i="15" s="1"/>
  <c r="M46" i="2" l="1"/>
  <c r="M52" i="2" s="1"/>
  <c r="J46" i="2"/>
  <c r="J52" i="2" s="1"/>
  <c r="M56" i="2" l="1"/>
  <c r="J56" i="2"/>
  <c r="J57" i="2" s="1"/>
  <c r="P46" i="2"/>
  <c r="P52" i="2" s="1"/>
  <c r="C62" i="2" l="1"/>
  <c r="M57" i="2"/>
  <c r="C63" i="2"/>
  <c r="D63" i="2" s="1"/>
  <c r="P56" i="2"/>
  <c r="S46" i="2"/>
  <c r="S52" i="2" s="1"/>
  <c r="P57" i="2" l="1"/>
  <c r="C64" i="2"/>
  <c r="D64" i="2" s="1"/>
  <c r="D62" i="2"/>
  <c r="E62" i="2" s="1"/>
  <c r="E63" i="2" s="1"/>
  <c r="S56" i="2"/>
  <c r="V46" i="2"/>
  <c r="V52" i="2" s="1"/>
  <c r="V56" i="2" l="1"/>
  <c r="C65" i="2"/>
  <c r="D65" i="2" s="1"/>
  <c r="S57" i="2"/>
  <c r="E64" i="2"/>
  <c r="C66" i="2" l="1"/>
  <c r="D66" i="2" s="1"/>
  <c r="V57" i="2"/>
  <c r="E65" i="2"/>
  <c r="E66" i="2" l="1"/>
  <c r="C71" i="2" l="1"/>
  <c r="D67" i="2"/>
  <c r="C70" i="2" s="1"/>
  <c r="C67" i="2"/>
  <c r="C72" i="2" l="1"/>
</calcChain>
</file>

<file path=xl/sharedStrings.xml><?xml version="1.0" encoding="utf-8"?>
<sst xmlns="http://schemas.openxmlformats.org/spreadsheetml/2006/main" count="296" uniqueCount="156">
  <si>
    <t>Water</t>
  </si>
  <si>
    <t xml:space="preserve">Electricity </t>
  </si>
  <si>
    <t>Year 1</t>
  </si>
  <si>
    <t>Year 2</t>
  </si>
  <si>
    <t>Year 3</t>
  </si>
  <si>
    <t>Year 4</t>
  </si>
  <si>
    <t>Year 5</t>
  </si>
  <si>
    <t>Year</t>
  </si>
  <si>
    <t>IRR</t>
  </si>
  <si>
    <t>NPV</t>
  </si>
  <si>
    <t xml:space="preserve">Unit </t>
  </si>
  <si>
    <t>ROI</t>
  </si>
  <si>
    <t>Switchgear &amp; wiring</t>
  </si>
  <si>
    <t>Tools, uniforms, boots</t>
  </si>
  <si>
    <t>Economic indicator</t>
  </si>
  <si>
    <t>Value</t>
  </si>
  <si>
    <t>Workshop &amp; tools</t>
  </si>
  <si>
    <t>Office furniture</t>
  </si>
  <si>
    <t>Permits &amp; licences</t>
  </si>
  <si>
    <t>Installation</t>
  </si>
  <si>
    <t>Briquettes sales</t>
  </si>
  <si>
    <t>Units per month</t>
  </si>
  <si>
    <t>Insurance</t>
  </si>
  <si>
    <t>Sales &amp; marketing</t>
  </si>
  <si>
    <t>Banking, legal, audit</t>
  </si>
  <si>
    <t>Security</t>
  </si>
  <si>
    <t>Rent</t>
  </si>
  <si>
    <t>kWh</t>
  </si>
  <si>
    <t>cbm</t>
  </si>
  <si>
    <t>Communications</t>
  </si>
  <si>
    <t>lumpsum</t>
  </si>
  <si>
    <t>litre</t>
  </si>
  <si>
    <t xml:space="preserve">Profit margin </t>
  </si>
  <si>
    <t>Income</t>
  </si>
  <si>
    <t>Skilled labour</t>
  </si>
  <si>
    <t>Unskilled labour</t>
  </si>
  <si>
    <t>persons</t>
  </si>
  <si>
    <t>General servicing &amp; repairs</t>
  </si>
  <si>
    <t>tonne</t>
  </si>
  <si>
    <t>per worker</t>
  </si>
  <si>
    <t>Notes</t>
  </si>
  <si>
    <t>Miscellaneous &amp; spares</t>
  </si>
  <si>
    <t>Freight + importation charges</t>
  </si>
  <si>
    <t>Transport &amp; delivery</t>
  </si>
  <si>
    <t>Interest rate</t>
  </si>
  <si>
    <t xml:space="preserve"> </t>
  </si>
  <si>
    <t>Briquette output</t>
  </si>
  <si>
    <t>t/mth (min. 2 workers)</t>
  </si>
  <si>
    <t>Servicing &amp; repairs</t>
  </si>
  <si>
    <t>Electricity requirement</t>
  </si>
  <si>
    <t>Water requirement</t>
  </si>
  <si>
    <t>litres/t of briquettes</t>
  </si>
  <si>
    <t>Electricity tariff</t>
  </si>
  <si>
    <t>Water tariff</t>
  </si>
  <si>
    <t>Diesel cost</t>
  </si>
  <si>
    <t>Exchange rate</t>
  </si>
  <si>
    <t>per annum</t>
  </si>
  <si>
    <t>Inflation rate</t>
  </si>
  <si>
    <t>Sales growth</t>
  </si>
  <si>
    <t>Discounted payback</t>
  </si>
  <si>
    <t>Net cashflow</t>
  </si>
  <si>
    <t>PV netted cashflow</t>
  </si>
  <si>
    <t>No. required</t>
  </si>
  <si>
    <t>Initial CAPEX</t>
  </si>
  <si>
    <t>CAPEX additions</t>
  </si>
  <si>
    <t>Capacity per unit (t/mth)</t>
  </si>
  <si>
    <t xml:space="preserve">Total Costs </t>
  </si>
  <si>
    <t>Sub-total CAPEX</t>
  </si>
  <si>
    <t>Sub-total Operating Costs</t>
  </si>
  <si>
    <t>Sub-total all costs</t>
  </si>
  <si>
    <t>Depreciation (10%, straight line)</t>
  </si>
  <si>
    <t>No. required/mth</t>
  </si>
  <si>
    <t>Sub-total Income</t>
  </si>
  <si>
    <t>Diesel requirement</t>
  </si>
  <si>
    <t>Delivery cost of briquettes</t>
  </si>
  <si>
    <t>kWh/t of briquettes</t>
  </si>
  <si>
    <t>Generic assumptions</t>
  </si>
  <si>
    <t>Unit cost (USD)</t>
  </si>
  <si>
    <t>Total cost (USD)</t>
  </si>
  <si>
    <t>Total cost (USD/yr)</t>
  </si>
  <si>
    <t>2% of CAPEX + freight. Min. $1,000</t>
  </si>
  <si>
    <t>1% of CAPEX. Min. $1,000</t>
  </si>
  <si>
    <t>per t</t>
  </si>
  <si>
    <t>per person/mth</t>
  </si>
  <si>
    <t>per 10 t</t>
  </si>
  <si>
    <t>per kWh</t>
  </si>
  <si>
    <t>per cbm</t>
  </si>
  <si>
    <t>per litre</t>
  </si>
  <si>
    <t>per mth</t>
  </si>
  <si>
    <t>per USD</t>
  </si>
  <si>
    <t>min. 1</t>
  </si>
  <si>
    <t>Total income (USD/yr)</t>
  </si>
  <si>
    <t>Capital expenditure</t>
  </si>
  <si>
    <t>10,000 litres</t>
  </si>
  <si>
    <t>Water tank</t>
  </si>
  <si>
    <t>Year 0</t>
  </si>
  <si>
    <t>per kg, ex-factory</t>
  </si>
  <si>
    <t>User-defined assumptions shown in red</t>
  </si>
  <si>
    <t>Office equipment</t>
  </si>
  <si>
    <t>Contingency (3% of operating costs)</t>
  </si>
  <si>
    <t>Briquette price</t>
  </si>
  <si>
    <t>auto-calculates from charcoal dust percentage</t>
  </si>
  <si>
    <t>t/mth (from Y1 mth 7 onwards, to allow 6 mthsfor commissioning)</t>
  </si>
  <si>
    <t>Cost assumptions for baobab briquetting business model</t>
  </si>
  <si>
    <t>Economic Analysis for  Briquetting Operation</t>
  </si>
  <si>
    <t>USD costs for equipment</t>
  </si>
  <si>
    <t>Operating costs (USD)</t>
  </si>
  <si>
    <t>Baobab shells</t>
  </si>
  <si>
    <t>Groundnut shells</t>
  </si>
  <si>
    <t>per kg</t>
  </si>
  <si>
    <t>Percentage raw baobab shells per t briquettes</t>
  </si>
  <si>
    <t>user-defined</t>
  </si>
  <si>
    <t xml:space="preserve">per kg </t>
  </si>
  <si>
    <t>Screw press</t>
  </si>
  <si>
    <t>Hammer Mill</t>
  </si>
  <si>
    <t>Electronic Scales</t>
  </si>
  <si>
    <t>Motor cycles</t>
  </si>
  <si>
    <t>Vehicle</t>
  </si>
  <si>
    <t>Screw Press</t>
  </si>
  <si>
    <t>per year</t>
  </si>
  <si>
    <t>Output per machine operator</t>
  </si>
  <si>
    <t>Output per factory labourer</t>
  </si>
  <si>
    <t>Machine operator cost</t>
  </si>
  <si>
    <t>Factory labourer cost</t>
  </si>
  <si>
    <t>Gross margin (pre-tax and fixed costs)</t>
  </si>
  <si>
    <t>Fixed costs</t>
  </si>
  <si>
    <t>Net margin (pre-tax)</t>
  </si>
  <si>
    <t>Monthly rate (Gross)</t>
  </si>
  <si>
    <t>General Manager</t>
  </si>
  <si>
    <t>Assistant General Manager</t>
  </si>
  <si>
    <t>Finance &amp; Admin Officer</t>
  </si>
  <si>
    <t>Marketing &amp; Sales Officer</t>
  </si>
  <si>
    <t>Factory and Operations Manager</t>
  </si>
  <si>
    <t>Accounts Assistant</t>
  </si>
  <si>
    <t>Factory Supervisor</t>
  </si>
  <si>
    <t>Field Officers</t>
  </si>
  <si>
    <t>Driver</t>
  </si>
  <si>
    <t>Office Assistant</t>
  </si>
  <si>
    <t>Guards (Internal)</t>
  </si>
  <si>
    <t>Fixed Costs</t>
  </si>
  <si>
    <t>Unit price (USD/t)</t>
  </si>
  <si>
    <t>Annual salary increment</t>
  </si>
  <si>
    <t>Fuel ( vehicles)</t>
  </si>
  <si>
    <t>Percentage other ingredients in briquettes</t>
  </si>
  <si>
    <t>Variable costs</t>
  </si>
  <si>
    <t>Sub-total Variable Costs</t>
  </si>
  <si>
    <t>No of months</t>
  </si>
  <si>
    <t>Total cost</t>
  </si>
  <si>
    <t>Personnel</t>
  </si>
  <si>
    <t>Other Fixed Costs</t>
  </si>
  <si>
    <t>Sub-total Personnel Costs</t>
  </si>
  <si>
    <t>TOTAL FIXED COSTS</t>
  </si>
  <si>
    <t>Economic Analysis for  Briquetting Operation (SUMMARY)</t>
  </si>
  <si>
    <t>2% of CAPEX + freight. Min. $1,001</t>
  </si>
  <si>
    <t xml:space="preserve">Gross Margin Percentage </t>
  </si>
  <si>
    <t>Fixed costs as percentage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</si>
</sst>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£&quot;#,##0.00_);[Red]\(&quot;£&quot;#,##0.00\)"/>
    <numFmt numFmtId="165" formatCode="_(* #,##0_);_(* \(#,##0\);_(* &quot;-&quot;??_);_(@_)"/>
    <numFmt numFmtId="166" formatCode="[$UGX]\ #,##0_);[Red]\([$UGX]\ #,##0\)"/>
    <numFmt numFmtId="167" formatCode="[$$-409]#,##0_);\([$$-409]#,##0\)"/>
    <numFmt numFmtId="168" formatCode="[$$-409]#,##0_);[Red]\([$$-409]#,##0\)"/>
    <numFmt numFmtId="169" formatCode="_(* #,##0.0_);_(* \(#,##0.0\);_(* &quot;-&quot;??_);_(@_)"/>
    <numFmt numFmtId="170" formatCode="0.0%"/>
    <numFmt numFmtId="171" formatCode="[$$-409]#,##0.00"/>
    <numFmt numFmtId="172" formatCode="_([$$-409]* #,##0.00_);_([$$-409]* \(#,##0.00\);_([$$-409]* &quot;-&quot;??_);_(@_)"/>
    <numFmt numFmtId="173" formatCode="_([$$-409]* #,##0_);_([$$-409]* \(#,##0\);_([$$-409]* &quot;-&quot;??_);_(@_)"/>
    <numFmt numFmtId="174" formatCode="_(&quot;US$&quot;* #,##0_);_(&quot;US$&quot;* \(#,##0\);_(&quot;US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8" tint="-0.499984740745262"/>
      <name val="Arial"/>
      <family val="2"/>
    </font>
    <font>
      <sz val="11"/>
      <color rgb="FFFF0000"/>
      <name val="Arial"/>
      <family val="2"/>
    </font>
    <font>
      <b/>
      <sz val="15"/>
      <color theme="1"/>
      <name val="Arial"/>
      <family val="2"/>
    </font>
    <font>
      <b/>
      <sz val="11"/>
      <color rgb="FF279959"/>
      <name val="Arial"/>
      <family val="2"/>
    </font>
    <font>
      <sz val="11"/>
      <color rgb="FF2799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3" xfId="0" applyFont="1" applyBorder="1"/>
    <xf numFmtId="165" fontId="6" fillId="0" borderId="0" xfId="1" applyNumberFormat="1" applyFont="1" applyAlignment="1"/>
    <xf numFmtId="43" fontId="6" fillId="0" borderId="0" xfId="1" applyNumberFormat="1" applyFont="1" applyAlignment="1"/>
    <xf numFmtId="43" fontId="4" fillId="0" borderId="0" xfId="1" applyNumberFormat="1" applyFont="1"/>
    <xf numFmtId="43" fontId="4" fillId="0" borderId="0" xfId="1" applyFont="1"/>
    <xf numFmtId="0" fontId="5" fillId="0" borderId="0" xfId="0" applyFont="1" applyBorder="1"/>
    <xf numFmtId="0" fontId="7" fillId="0" borderId="0" xfId="0" applyFont="1"/>
    <xf numFmtId="165" fontId="4" fillId="0" borderId="0" xfId="1" applyNumberFormat="1" applyFont="1"/>
    <xf numFmtId="9" fontId="7" fillId="0" borderId="0" xfId="2" applyFont="1" applyFill="1"/>
    <xf numFmtId="0" fontId="8" fillId="0" borderId="0" xfId="0" applyFont="1"/>
    <xf numFmtId="165" fontId="5" fillId="0" borderId="0" xfId="1" applyNumberFormat="1" applyFont="1" applyAlignment="1">
      <alignment horizontal="left" vertical="top"/>
    </xf>
    <xf numFmtId="165" fontId="9" fillId="0" borderId="0" xfId="1" applyNumberFormat="1" applyFont="1" applyAlignment="1">
      <alignment vertical="top" wrapText="1"/>
    </xf>
    <xf numFmtId="165" fontId="10" fillId="0" borderId="0" xfId="1" applyNumberFormat="1" applyFont="1" applyAlignment="1">
      <alignment vertical="top" wrapText="1"/>
    </xf>
    <xf numFmtId="0" fontId="4" fillId="0" borderId="0" xfId="0" applyFont="1" applyAlignment="1"/>
    <xf numFmtId="0" fontId="4" fillId="0" borderId="0" xfId="0" applyFont="1" applyFill="1" applyBorder="1"/>
    <xf numFmtId="0" fontId="5" fillId="0" borderId="0" xfId="0" applyFont="1"/>
    <xf numFmtId="0" fontId="5" fillId="4" borderId="6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165" fontId="4" fillId="3" borderId="0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0" xfId="1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0" fontId="5" fillId="4" borderId="6" xfId="0" applyFont="1" applyFill="1" applyBorder="1" applyAlignment="1">
      <alignment horizontal="right" vertical="center" wrapText="1"/>
    </xf>
    <xf numFmtId="165" fontId="5" fillId="4" borderId="7" xfId="1" applyNumberFormat="1" applyFont="1" applyFill="1" applyBorder="1"/>
    <xf numFmtId="165" fontId="5" fillId="4" borderId="3" xfId="1" applyNumberFormat="1" applyFont="1" applyFill="1" applyBorder="1"/>
    <xf numFmtId="165" fontId="5" fillId="4" borderId="4" xfId="1" applyNumberFormat="1" applyFont="1" applyFill="1" applyBorder="1"/>
    <xf numFmtId="165" fontId="5" fillId="4" borderId="6" xfId="1" applyNumberFormat="1" applyFont="1" applyFill="1" applyBorder="1"/>
    <xf numFmtId="9" fontId="4" fillId="0" borderId="0" xfId="2" applyFont="1"/>
    <xf numFmtId="165" fontId="4" fillId="5" borderId="8" xfId="1" applyNumberFormat="1" applyFont="1" applyFill="1" applyBorder="1"/>
    <xf numFmtId="0" fontId="4" fillId="3" borderId="1" xfId="0" applyFont="1" applyFill="1" applyBorder="1" applyAlignment="1">
      <alignment vertical="center" wrapText="1"/>
    </xf>
    <xf numFmtId="165" fontId="4" fillId="5" borderId="2" xfId="1" applyNumberFormat="1" applyFont="1" applyFill="1" applyBorder="1"/>
    <xf numFmtId="165" fontId="4" fillId="3" borderId="11" xfId="1" applyNumberFormat="1" applyFont="1" applyFill="1" applyBorder="1"/>
    <xf numFmtId="165" fontId="11" fillId="3" borderId="10" xfId="1" applyNumberFormat="1" applyFont="1" applyFill="1" applyBorder="1"/>
    <xf numFmtId="165" fontId="4" fillId="3" borderId="10" xfId="1" applyNumberFormat="1" applyFont="1" applyFill="1" applyBorder="1"/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/>
    <xf numFmtId="165" fontId="11" fillId="2" borderId="0" xfId="1" applyNumberFormat="1" applyFont="1" applyFill="1" applyBorder="1"/>
    <xf numFmtId="165" fontId="4" fillId="3" borderId="1" xfId="1" applyNumberFormat="1" applyFont="1" applyFill="1" applyBorder="1"/>
    <xf numFmtId="165" fontId="11" fillId="3" borderId="0" xfId="1" applyNumberFormat="1" applyFont="1" applyFill="1" applyBorder="1"/>
    <xf numFmtId="165" fontId="4" fillId="2" borderId="1" xfId="1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top"/>
    </xf>
    <xf numFmtId="0" fontId="4" fillId="0" borderId="0" xfId="0" applyFont="1" applyFill="1"/>
    <xf numFmtId="0" fontId="7" fillId="0" borderId="0" xfId="0" applyFont="1" applyFill="1" applyAlignment="1">
      <alignment horizontal="left" wrapText="1"/>
    </xf>
    <xf numFmtId="0" fontId="5" fillId="4" borderId="6" xfId="0" applyFont="1" applyFill="1" applyBorder="1" applyAlignment="1">
      <alignment horizontal="right"/>
    </xf>
    <xf numFmtId="165" fontId="12" fillId="4" borderId="7" xfId="1" applyNumberFormat="1" applyFont="1" applyFill="1" applyBorder="1"/>
    <xf numFmtId="0" fontId="4" fillId="0" borderId="0" xfId="0" applyFont="1" applyBorder="1"/>
    <xf numFmtId="165" fontId="4" fillId="0" borderId="0" xfId="1" applyNumberFormat="1" applyFont="1" applyBorder="1"/>
    <xf numFmtId="165" fontId="4" fillId="5" borderId="0" xfId="1" applyNumberFormat="1" applyFont="1" applyFill="1"/>
    <xf numFmtId="165" fontId="13" fillId="0" borderId="0" xfId="1" applyNumberFormat="1" applyFont="1" applyBorder="1"/>
    <xf numFmtId="165" fontId="5" fillId="0" borderId="0" xfId="1" applyNumberFormat="1" applyFont="1" applyBorder="1"/>
    <xf numFmtId="0" fontId="5" fillId="4" borderId="11" xfId="0" applyFont="1" applyFill="1" applyBorder="1" applyAlignment="1">
      <alignment horizontal="right"/>
    </xf>
    <xf numFmtId="165" fontId="4" fillId="4" borderId="10" xfId="1" applyNumberFormat="1" applyFont="1" applyFill="1" applyBorder="1"/>
    <xf numFmtId="165" fontId="4" fillId="5" borderId="10" xfId="1" applyNumberFormat="1" applyFont="1" applyFill="1" applyBorder="1"/>
    <xf numFmtId="165" fontId="4" fillId="4" borderId="6" xfId="1" applyNumberFormat="1" applyFont="1" applyFill="1" applyBorder="1"/>
    <xf numFmtId="165" fontId="4" fillId="4" borderId="7" xfId="1" applyNumberFormat="1" applyFont="1" applyFill="1" applyBorder="1"/>
    <xf numFmtId="0" fontId="5" fillId="4" borderId="3" xfId="0" applyFont="1" applyFill="1" applyBorder="1" applyAlignment="1">
      <alignment horizontal="right"/>
    </xf>
    <xf numFmtId="165" fontId="4" fillId="5" borderId="4" xfId="1" applyNumberFormat="1" applyFont="1" applyFill="1" applyBorder="1"/>
    <xf numFmtId="165" fontId="4" fillId="3" borderId="16" xfId="1" applyNumberFormat="1" applyFont="1" applyFill="1" applyBorder="1"/>
    <xf numFmtId="165" fontId="4" fillId="3" borderId="21" xfId="1" applyNumberFormat="1" applyFont="1" applyFill="1" applyBorder="1"/>
    <xf numFmtId="165" fontId="4" fillId="4" borderId="17" xfId="1" applyNumberFormat="1" applyFont="1" applyFill="1" applyBorder="1"/>
    <xf numFmtId="165" fontId="4" fillId="5" borderId="13" xfId="1" applyNumberFormat="1" applyFont="1" applyFill="1" applyBorder="1"/>
    <xf numFmtId="165" fontId="13" fillId="4" borderId="6" xfId="1" applyNumberFormat="1" applyFont="1" applyFill="1" applyBorder="1"/>
    <xf numFmtId="165" fontId="5" fillId="4" borderId="17" xfId="1" applyNumberFormat="1" applyFont="1" applyFill="1" applyBorder="1"/>
    <xf numFmtId="165" fontId="4" fillId="5" borderId="7" xfId="1" applyNumberFormat="1" applyFont="1" applyFill="1" applyBorder="1"/>
    <xf numFmtId="0" fontId="5" fillId="3" borderId="3" xfId="0" applyFont="1" applyFill="1" applyBorder="1"/>
    <xf numFmtId="165" fontId="4" fillId="3" borderId="18" xfId="1" applyNumberFormat="1" applyFont="1" applyFill="1" applyBorder="1"/>
    <xf numFmtId="165" fontId="4" fillId="3" borderId="3" xfId="1" applyNumberFormat="1" applyFont="1" applyFill="1" applyBorder="1"/>
    <xf numFmtId="165" fontId="4" fillId="3" borderId="4" xfId="1" applyNumberFormat="1" applyFont="1" applyFill="1" applyBorder="1"/>
    <xf numFmtId="165" fontId="4" fillId="0" borderId="0" xfId="1" applyNumberFormat="1" applyFont="1" applyFill="1" applyBorder="1"/>
    <xf numFmtId="9" fontId="4" fillId="0" borderId="0" xfId="2" applyFont="1" applyFill="1" applyBorder="1"/>
    <xf numFmtId="0" fontId="5" fillId="0" borderId="0" xfId="0" applyFont="1" applyAlignment="1">
      <alignment horizontal="right"/>
    </xf>
    <xf numFmtId="9" fontId="5" fillId="0" borderId="0" xfId="2" applyFont="1" applyFill="1" applyAlignment="1">
      <alignment horizontal="left"/>
    </xf>
    <xf numFmtId="165" fontId="7" fillId="0" borderId="0" xfId="1" applyNumberFormat="1" applyFont="1" applyAlignment="1">
      <alignment horizontal="right"/>
    </xf>
    <xf numFmtId="43" fontId="4" fillId="0" borderId="0" xfId="1" applyNumberFormat="1" applyFont="1" applyFill="1" applyBorder="1"/>
    <xf numFmtId="166" fontId="4" fillId="0" borderId="0" xfId="1" applyNumberFormat="1" applyFont="1" applyFill="1" applyBorder="1"/>
    <xf numFmtId="0" fontId="4" fillId="0" borderId="1" xfId="0" applyFont="1" applyFill="1" applyBorder="1"/>
    <xf numFmtId="167" fontId="4" fillId="3" borderId="0" xfId="1" applyNumberFormat="1" applyFont="1" applyFill="1" applyBorder="1"/>
    <xf numFmtId="167" fontId="4" fillId="3" borderId="2" xfId="1" applyNumberFormat="1" applyFont="1" applyFill="1" applyBorder="1"/>
    <xf numFmtId="167" fontId="4" fillId="2" borderId="0" xfId="1" applyNumberFormat="1" applyFont="1" applyFill="1" applyBorder="1"/>
    <xf numFmtId="167" fontId="4" fillId="2" borderId="2" xfId="1" applyNumberFormat="1" applyFont="1" applyFill="1" applyBorder="1"/>
    <xf numFmtId="167" fontId="5" fillId="4" borderId="4" xfId="1" applyNumberFormat="1" applyFont="1" applyFill="1" applyBorder="1"/>
    <xf numFmtId="167" fontId="5" fillId="4" borderId="5" xfId="1" applyNumberFormat="1" applyFont="1" applyFill="1" applyBorder="1"/>
    <xf numFmtId="165" fontId="5" fillId="4" borderId="7" xfId="1" applyNumberFormat="1" applyFont="1" applyFill="1" applyBorder="1" applyAlignment="1">
      <alignment horizontal="center" wrapText="1"/>
    </xf>
    <xf numFmtId="43" fontId="5" fillId="4" borderId="8" xfId="1" applyNumberFormat="1" applyFont="1" applyFill="1" applyBorder="1" applyAlignment="1">
      <alignment horizontal="center" wrapText="1"/>
    </xf>
    <xf numFmtId="167" fontId="5" fillId="4" borderId="8" xfId="1" applyNumberFormat="1" applyFont="1" applyFill="1" applyBorder="1"/>
    <xf numFmtId="167" fontId="4" fillId="3" borderId="12" xfId="1" applyNumberFormat="1" applyFont="1" applyFill="1" applyBorder="1"/>
    <xf numFmtId="165" fontId="5" fillId="4" borderId="6" xfId="1" applyNumberFormat="1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165" fontId="5" fillId="4" borderId="7" xfId="1" applyNumberFormat="1" applyFont="1" applyFill="1" applyBorder="1" applyAlignment="1">
      <alignment wrapText="1"/>
    </xf>
    <xf numFmtId="165" fontId="4" fillId="5" borderId="8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4" borderId="14" xfId="0" applyFont="1" applyFill="1" applyBorder="1" applyAlignment="1">
      <alignment wrapText="1"/>
    </xf>
    <xf numFmtId="165" fontId="5" fillId="4" borderId="15" xfId="1" applyNumberFormat="1" applyFont="1" applyFill="1" applyBorder="1" applyAlignment="1">
      <alignment wrapText="1"/>
    </xf>
    <xf numFmtId="165" fontId="4" fillId="5" borderId="9" xfId="1" applyNumberFormat="1" applyFont="1" applyFill="1" applyBorder="1" applyAlignment="1">
      <alignment wrapText="1"/>
    </xf>
    <xf numFmtId="165" fontId="5" fillId="4" borderId="14" xfId="1" applyNumberFormat="1" applyFont="1" applyFill="1" applyBorder="1" applyAlignment="1">
      <alignment horizontal="center" wrapText="1"/>
    </xf>
    <xf numFmtId="43" fontId="5" fillId="4" borderId="19" xfId="1" applyNumberFormat="1" applyFont="1" applyFill="1" applyBorder="1" applyAlignment="1">
      <alignment horizontal="center" wrapText="1"/>
    </xf>
    <xf numFmtId="43" fontId="5" fillId="4" borderId="20" xfId="1" applyNumberFormat="1" applyFont="1" applyFill="1" applyBorder="1" applyAlignment="1">
      <alignment horizontal="center" wrapText="1"/>
    </xf>
    <xf numFmtId="167" fontId="4" fillId="3" borderId="22" xfId="1" applyNumberFormat="1" applyFont="1" applyFill="1" applyBorder="1"/>
    <xf numFmtId="167" fontId="5" fillId="0" borderId="0" xfId="1" applyNumberFormat="1" applyFont="1" applyBorder="1"/>
    <xf numFmtId="168" fontId="4" fillId="0" borderId="0" xfId="1" applyNumberFormat="1" applyFont="1" applyFill="1" applyBorder="1"/>
    <xf numFmtId="168" fontId="4" fillId="0" borderId="2" xfId="1" applyNumberFormat="1" applyFont="1" applyFill="1" applyBorder="1"/>
    <xf numFmtId="0" fontId="5" fillId="0" borderId="0" xfId="0" applyFont="1" applyAlignment="1">
      <alignment horizontal="center"/>
    </xf>
    <xf numFmtId="0" fontId="4" fillId="2" borderId="1" xfId="0" applyFont="1" applyFill="1" applyBorder="1"/>
    <xf numFmtId="9" fontId="15" fillId="0" borderId="0" xfId="2" applyFont="1"/>
    <xf numFmtId="165" fontId="15" fillId="0" borderId="0" xfId="1" applyNumberFormat="1" applyFont="1" applyFill="1" applyAlignment="1">
      <alignment horizontal="left" vertical="top"/>
    </xf>
    <xf numFmtId="9" fontId="5" fillId="4" borderId="24" xfId="1" applyNumberFormat="1" applyFont="1" applyFill="1" applyBorder="1"/>
    <xf numFmtId="165" fontId="4" fillId="3" borderId="0" xfId="1" applyNumberFormat="1" applyFont="1" applyFill="1" applyBorder="1" applyAlignment="1">
      <alignment horizontal="right"/>
    </xf>
    <xf numFmtId="168" fontId="5" fillId="4" borderId="8" xfId="1" applyNumberFormat="1" applyFont="1" applyFill="1" applyBorder="1"/>
    <xf numFmtId="167" fontId="4" fillId="0" borderId="0" xfId="1" applyNumberFormat="1" applyFont="1"/>
    <xf numFmtId="167" fontId="5" fillId="0" borderId="0" xfId="1" applyNumberFormat="1" applyFont="1" applyFill="1"/>
    <xf numFmtId="0" fontId="5" fillId="0" borderId="0" xfId="0" applyFont="1" applyAlignment="1">
      <alignment wrapText="1"/>
    </xf>
    <xf numFmtId="37" fontId="4" fillId="3" borderId="0" xfId="1" applyNumberFormat="1" applyFont="1" applyFill="1" applyBorder="1" applyAlignment="1">
      <alignment horizontal="center"/>
    </xf>
    <xf numFmtId="37" fontId="4" fillId="2" borderId="0" xfId="1" applyNumberFormat="1" applyFont="1" applyFill="1" applyBorder="1" applyAlignment="1">
      <alignment horizontal="center"/>
    </xf>
    <xf numFmtId="43" fontId="5" fillId="0" borderId="0" xfId="1" applyNumberFormat="1" applyFont="1" applyFill="1" applyBorder="1"/>
    <xf numFmtId="0" fontId="4" fillId="3" borderId="1" xfId="0" applyFont="1" applyFill="1" applyBorder="1"/>
    <xf numFmtId="0" fontId="4" fillId="2" borderId="3" xfId="0" applyFont="1" applyFill="1" applyBorder="1"/>
    <xf numFmtId="0" fontId="14" fillId="4" borderId="6" xfId="0" applyFont="1" applyFill="1" applyBorder="1" applyAlignment="1">
      <alignment horizontal="left"/>
    </xf>
    <xf numFmtId="0" fontId="14" fillId="4" borderId="8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 wrapText="1"/>
    </xf>
    <xf numFmtId="43" fontId="5" fillId="4" borderId="7" xfId="1" applyNumberFormat="1" applyFont="1" applyFill="1" applyBorder="1" applyAlignment="1">
      <alignment horizontal="right" wrapText="1"/>
    </xf>
    <xf numFmtId="165" fontId="5" fillId="4" borderId="7" xfId="1" applyNumberFormat="1" applyFont="1" applyFill="1" applyBorder="1" applyAlignment="1">
      <alignment horizontal="right" wrapText="1"/>
    </xf>
    <xf numFmtId="43" fontId="5" fillId="4" borderId="8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wrapText="1"/>
    </xf>
    <xf numFmtId="43" fontId="4" fillId="0" borderId="0" xfId="1" applyNumberFormat="1" applyFont="1" applyFill="1" applyBorder="1" applyAlignment="1">
      <alignment wrapText="1"/>
    </xf>
    <xf numFmtId="43" fontId="4" fillId="0" borderId="0" xfId="1" applyFont="1" applyAlignment="1">
      <alignment wrapText="1"/>
    </xf>
    <xf numFmtId="0" fontId="4" fillId="0" borderId="11" xfId="0" applyFont="1" applyFill="1" applyBorder="1" applyAlignment="1">
      <alignment horizontal="right" wrapText="1"/>
    </xf>
    <xf numFmtId="168" fontId="4" fillId="0" borderId="10" xfId="1" applyNumberFormat="1" applyFont="1" applyFill="1" applyBorder="1" applyAlignment="1">
      <alignment horizontal="right" wrapText="1"/>
    </xf>
    <xf numFmtId="168" fontId="4" fillId="0" borderId="12" xfId="1" applyNumberFormat="1" applyFont="1" applyFill="1" applyBorder="1" applyAlignment="1">
      <alignment horizontal="right" wrapText="1"/>
    </xf>
    <xf numFmtId="0" fontId="4" fillId="3" borderId="25" xfId="0" applyFont="1" applyFill="1" applyBorder="1"/>
    <xf numFmtId="165" fontId="4" fillId="3" borderId="26" xfId="1" applyNumberFormat="1" applyFont="1" applyFill="1" applyBorder="1"/>
    <xf numFmtId="43" fontId="4" fillId="0" borderId="6" xfId="1" applyNumberFormat="1" applyFont="1" applyBorder="1"/>
    <xf numFmtId="43" fontId="4" fillId="0" borderId="7" xfId="1" applyNumberFormat="1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43" fontId="4" fillId="0" borderId="11" xfId="1" applyNumberFormat="1" applyFont="1" applyBorder="1"/>
    <xf numFmtId="43" fontId="4" fillId="0" borderId="10" xfId="1" applyNumberFormat="1" applyFont="1" applyBorder="1"/>
    <xf numFmtId="165" fontId="4" fillId="5" borderId="27" xfId="1" applyNumberFormat="1" applyFont="1" applyFill="1" applyBorder="1"/>
    <xf numFmtId="165" fontId="4" fillId="0" borderId="0" xfId="1" applyNumberFormat="1" applyFont="1" applyFill="1" applyBorder="1" applyAlignment="1">
      <alignment wrapText="1"/>
    </xf>
    <xf numFmtId="165" fontId="5" fillId="0" borderId="14" xfId="1" applyNumberFormat="1" applyFont="1" applyFill="1" applyBorder="1" applyAlignment="1">
      <alignment horizontal="center" wrapText="1"/>
    </xf>
    <xf numFmtId="43" fontId="5" fillId="0" borderId="19" xfId="1" applyNumberFormat="1" applyFont="1" applyFill="1" applyBorder="1" applyAlignment="1">
      <alignment horizontal="center" wrapText="1"/>
    </xf>
    <xf numFmtId="165" fontId="4" fillId="0" borderId="16" xfId="1" applyNumberFormat="1" applyFont="1" applyFill="1" applyBorder="1"/>
    <xf numFmtId="165" fontId="4" fillId="0" borderId="21" xfId="1" applyNumberFormat="1" applyFont="1" applyFill="1" applyBorder="1"/>
    <xf numFmtId="165" fontId="13" fillId="0" borderId="6" xfId="1" applyNumberFormat="1" applyFont="1" applyFill="1" applyBorder="1"/>
    <xf numFmtId="165" fontId="4" fillId="0" borderId="7" xfId="1" applyNumberFormat="1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9" fontId="4" fillId="3" borderId="5" xfId="2" applyFont="1" applyFill="1" applyBorder="1"/>
    <xf numFmtId="164" fontId="4" fillId="0" borderId="0" xfId="1" applyNumberFormat="1" applyFont="1"/>
    <xf numFmtId="170" fontId="4" fillId="2" borderId="5" xfId="2" applyNumberFormat="1" applyFont="1" applyFill="1" applyBorder="1"/>
    <xf numFmtId="165" fontId="4" fillId="0" borderId="0" xfId="1" applyNumberFormat="1" applyFont="1" applyFill="1" applyBorder="1" applyAlignment="1">
      <alignment horizontal="left"/>
    </xf>
    <xf numFmtId="169" fontId="4" fillId="0" borderId="0" xfId="0" applyNumberFormat="1" applyFont="1"/>
    <xf numFmtId="167" fontId="4" fillId="0" borderId="0" xfId="0" applyNumberFormat="1" applyFont="1" applyFill="1"/>
    <xf numFmtId="43" fontId="4" fillId="0" borderId="1" xfId="1" applyNumberFormat="1" applyFont="1" applyBorder="1"/>
    <xf numFmtId="43" fontId="4" fillId="0" borderId="0" xfId="1" applyNumberFormat="1" applyFont="1" applyBorder="1"/>
    <xf numFmtId="165" fontId="4" fillId="5" borderId="0" xfId="1" applyNumberFormat="1" applyFont="1" applyFill="1" applyBorder="1"/>
    <xf numFmtId="0" fontId="4" fillId="4" borderId="11" xfId="0" applyFont="1" applyFill="1" applyBorder="1"/>
    <xf numFmtId="0" fontId="4" fillId="4" borderId="10" xfId="0" applyFont="1" applyFill="1" applyBorder="1"/>
    <xf numFmtId="167" fontId="5" fillId="4" borderId="12" xfId="1" applyNumberFormat="1" applyFont="1" applyFill="1" applyBorder="1"/>
    <xf numFmtId="43" fontId="4" fillId="4" borderId="3" xfId="1" applyNumberFormat="1" applyFont="1" applyFill="1" applyBorder="1"/>
    <xf numFmtId="43" fontId="4" fillId="4" borderId="4" xfId="1" applyNumberFormat="1" applyFont="1" applyFill="1" applyBorder="1"/>
    <xf numFmtId="167" fontId="4" fillId="0" borderId="0" xfId="1" applyNumberFormat="1" applyFont="1" applyFill="1" applyBorder="1"/>
    <xf numFmtId="167" fontId="4" fillId="0" borderId="10" xfId="1" applyNumberFormat="1" applyFont="1" applyFill="1" applyBorder="1"/>
    <xf numFmtId="165" fontId="4" fillId="4" borderId="11" xfId="1" applyNumberFormat="1" applyFont="1" applyFill="1" applyBorder="1"/>
    <xf numFmtId="167" fontId="4" fillId="3" borderId="5" xfId="1" applyNumberFormat="1" applyFont="1" applyFill="1" applyBorder="1"/>
    <xf numFmtId="43" fontId="4" fillId="0" borderId="0" xfId="1" applyFont="1" applyAlignment="1">
      <alignment vertical="top"/>
    </xf>
    <xf numFmtId="0" fontId="4" fillId="0" borderId="0" xfId="0" applyFont="1" applyAlignment="1">
      <alignment vertical="top"/>
    </xf>
    <xf numFmtId="169" fontId="4" fillId="3" borderId="0" xfId="1" applyNumberFormat="1" applyFont="1" applyFill="1" applyBorder="1" applyAlignment="1">
      <alignment horizontal="right" vertical="top"/>
    </xf>
    <xf numFmtId="165" fontId="4" fillId="3" borderId="0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3" fontId="4" fillId="3" borderId="2" xfId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43" fontId="4" fillId="2" borderId="2" xfId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43" fontId="6" fillId="0" borderId="0" xfId="1" applyNumberFormat="1" applyFont="1" applyFill="1" applyAlignment="1"/>
    <xf numFmtId="43" fontId="6" fillId="0" borderId="0" xfId="1" applyNumberFormat="1" applyFont="1" applyFill="1" applyAlignment="1">
      <alignment vertical="top"/>
    </xf>
    <xf numFmtId="165" fontId="4" fillId="0" borderId="0" xfId="1" applyNumberFormat="1" applyFont="1" applyAlignment="1"/>
    <xf numFmtId="165" fontId="4" fillId="2" borderId="2" xfId="1" applyNumberFormat="1" applyFont="1" applyFill="1" applyBorder="1" applyAlignment="1">
      <alignment vertical="top"/>
    </xf>
    <xf numFmtId="0" fontId="4" fillId="3" borderId="11" xfId="0" applyFont="1" applyFill="1" applyBorder="1" applyAlignment="1">
      <alignment horizontal="left" vertical="center" wrapText="1"/>
    </xf>
    <xf numFmtId="167" fontId="7" fillId="3" borderId="10" xfId="1" applyNumberFormat="1" applyFont="1" applyFill="1" applyBorder="1"/>
    <xf numFmtId="0" fontId="4" fillId="3" borderId="12" xfId="0" applyFont="1" applyFill="1" applyBorder="1"/>
    <xf numFmtId="167" fontId="7" fillId="3" borderId="0" xfId="1" applyNumberFormat="1" applyFont="1" applyFill="1" applyBorder="1"/>
    <xf numFmtId="0" fontId="4" fillId="3" borderId="2" xfId="0" applyFont="1" applyFill="1" applyBorder="1"/>
    <xf numFmtId="167" fontId="7" fillId="2" borderId="0" xfId="1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167" fontId="7" fillId="2" borderId="4" xfId="1" applyNumberFormat="1" applyFont="1" applyFill="1" applyBorder="1"/>
    <xf numFmtId="0" fontId="4" fillId="2" borderId="5" xfId="0" applyFont="1" applyFill="1" applyBorder="1"/>
    <xf numFmtId="9" fontId="15" fillId="4" borderId="24" xfId="2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65" fontId="4" fillId="0" borderId="0" xfId="1" applyNumberFormat="1" applyFont="1" applyAlignment="1">
      <alignment vertical="top"/>
    </xf>
    <xf numFmtId="0" fontId="4" fillId="3" borderId="11" xfId="0" applyFont="1" applyFill="1" applyBorder="1" applyAlignment="1">
      <alignment vertical="top"/>
    </xf>
    <xf numFmtId="165" fontId="4" fillId="3" borderId="12" xfId="1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165" fontId="4" fillId="3" borderId="2" xfId="1" applyNumberFormat="1" applyFont="1" applyFill="1" applyBorder="1" applyAlignment="1">
      <alignment vertical="top"/>
    </xf>
    <xf numFmtId="43" fontId="4" fillId="0" borderId="0" xfId="1" applyNumberFormat="1" applyFont="1" applyFill="1" applyAlignment="1">
      <alignment vertical="top"/>
    </xf>
    <xf numFmtId="0" fontId="4" fillId="2" borderId="11" xfId="0" applyFont="1" applyFill="1" applyBorder="1" applyAlignment="1">
      <alignment vertical="top"/>
    </xf>
    <xf numFmtId="169" fontId="4" fillId="2" borderId="10" xfId="1" applyNumberFormat="1" applyFont="1" applyFill="1" applyBorder="1" applyAlignment="1">
      <alignment vertical="top"/>
    </xf>
    <xf numFmtId="165" fontId="4" fillId="2" borderId="12" xfId="1" applyNumberFormat="1" applyFont="1" applyFill="1" applyBorder="1" applyAlignment="1">
      <alignment vertical="top"/>
    </xf>
    <xf numFmtId="170" fontId="4" fillId="3" borderId="0" xfId="2" applyNumberFormat="1" applyFont="1" applyFill="1" applyBorder="1" applyAlignment="1">
      <alignment vertical="top"/>
    </xf>
    <xf numFmtId="170" fontId="4" fillId="2" borderId="0" xfId="2" applyNumberFormat="1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170" fontId="4" fillId="3" borderId="4" xfId="2" applyNumberFormat="1" applyFont="1" applyFill="1" applyBorder="1" applyAlignment="1">
      <alignment vertical="top"/>
    </xf>
    <xf numFmtId="165" fontId="4" fillId="3" borderId="5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71" fontId="4" fillId="0" borderId="0" xfId="0" applyNumberFormat="1" applyFont="1" applyAlignment="1">
      <alignment vertical="top"/>
    </xf>
    <xf numFmtId="0" fontId="19" fillId="0" borderId="0" xfId="0" applyFont="1"/>
    <xf numFmtId="9" fontId="4" fillId="2" borderId="2" xfId="0" applyNumberFormat="1" applyFont="1" applyFill="1" applyBorder="1"/>
    <xf numFmtId="0" fontId="5" fillId="4" borderId="3" xfId="0" applyFont="1" applyFill="1" applyBorder="1"/>
    <xf numFmtId="165" fontId="5" fillId="4" borderId="18" xfId="1" applyNumberFormat="1" applyFont="1" applyFill="1" applyBorder="1"/>
    <xf numFmtId="168" fontId="5" fillId="4" borderId="5" xfId="1" applyNumberFormat="1" applyFont="1" applyFill="1" applyBorder="1"/>
    <xf numFmtId="165" fontId="4" fillId="0" borderId="4" xfId="1" applyNumberFormat="1" applyFont="1" applyFill="1" applyBorder="1"/>
    <xf numFmtId="0" fontId="4" fillId="3" borderId="3" xfId="0" applyFont="1" applyFill="1" applyBorder="1"/>
    <xf numFmtId="165" fontId="4" fillId="5" borderId="20" xfId="1" applyNumberFormat="1" applyFont="1" applyFill="1" applyBorder="1" applyAlignment="1">
      <alignment wrapText="1"/>
    </xf>
    <xf numFmtId="165" fontId="4" fillId="5" borderId="28" xfId="1" applyNumberFormat="1" applyFont="1" applyFill="1" applyBorder="1"/>
    <xf numFmtId="168" fontId="4" fillId="3" borderId="5" xfId="1" applyNumberFormat="1" applyFont="1" applyFill="1" applyBorder="1"/>
    <xf numFmtId="0" fontId="4" fillId="3" borderId="11" xfId="0" applyFont="1" applyFill="1" applyBorder="1"/>
    <xf numFmtId="167" fontId="4" fillId="3" borderId="11" xfId="1" applyNumberFormat="1" applyFont="1" applyFill="1" applyBorder="1"/>
    <xf numFmtId="167" fontId="4" fillId="3" borderId="10" xfId="1" applyNumberFormat="1" applyFont="1" applyFill="1" applyBorder="1"/>
    <xf numFmtId="165" fontId="4" fillId="3" borderId="3" xfId="1" applyNumberFormat="1" applyFont="1" applyFill="1" applyBorder="1" applyAlignment="1">
      <alignment horizontal="center"/>
    </xf>
    <xf numFmtId="167" fontId="4" fillId="3" borderId="4" xfId="1" applyNumberFormat="1" applyFont="1" applyFill="1" applyBorder="1"/>
    <xf numFmtId="173" fontId="4" fillId="3" borderId="12" xfId="1" applyNumberFormat="1" applyFont="1" applyFill="1" applyBorder="1"/>
    <xf numFmtId="172" fontId="11" fillId="3" borderId="10" xfId="3" applyNumberFormat="1" applyFont="1" applyFill="1" applyBorder="1"/>
    <xf numFmtId="172" fontId="11" fillId="2" borderId="0" xfId="3" applyNumberFormat="1" applyFont="1" applyFill="1" applyBorder="1"/>
    <xf numFmtId="172" fontId="4" fillId="2" borderId="0" xfId="1" applyNumberFormat="1" applyFont="1" applyFill="1" applyBorder="1"/>
    <xf numFmtId="172" fontId="4" fillId="3" borderId="0" xfId="1" applyNumberFormat="1" applyFont="1" applyFill="1" applyBorder="1"/>
    <xf numFmtId="172" fontId="4" fillId="3" borderId="10" xfId="3" applyNumberFormat="1" applyFont="1" applyFill="1" applyBorder="1" applyAlignment="1">
      <alignment horizontal="right" vertical="top"/>
    </xf>
    <xf numFmtId="172" fontId="4" fillId="3" borderId="0" xfId="3" applyNumberFormat="1" applyFont="1" applyFill="1" applyBorder="1" applyAlignment="1">
      <alignment horizontal="right" vertical="top"/>
    </xf>
    <xf numFmtId="172" fontId="4" fillId="2" borderId="0" xfId="1" applyNumberFormat="1" applyFont="1" applyFill="1" applyBorder="1" applyAlignment="1">
      <alignment horizontal="right" vertical="top"/>
    </xf>
    <xf numFmtId="172" fontId="4" fillId="2" borderId="0" xfId="3" applyNumberFormat="1" applyFont="1" applyFill="1" applyBorder="1" applyAlignment="1">
      <alignment horizontal="right" vertical="top"/>
    </xf>
    <xf numFmtId="172" fontId="4" fillId="3" borderId="0" xfId="3" applyNumberFormat="1" applyFont="1" applyFill="1" applyBorder="1" applyAlignment="1">
      <alignment vertical="top"/>
    </xf>
    <xf numFmtId="172" fontId="4" fillId="2" borderId="0" xfId="3" applyNumberFormat="1" applyFont="1" applyFill="1" applyBorder="1" applyAlignment="1">
      <alignment vertical="top"/>
    </xf>
    <xf numFmtId="172" fontId="4" fillId="3" borderId="0" xfId="1" applyNumberFormat="1" applyFont="1" applyFill="1" applyBorder="1" applyAlignment="1">
      <alignment vertical="top"/>
    </xf>
    <xf numFmtId="172" fontId="4" fillId="2" borderId="0" xfId="1" applyNumberFormat="1" applyFont="1" applyFill="1" applyBorder="1" applyAlignment="1">
      <alignment vertical="top"/>
    </xf>
    <xf numFmtId="43" fontId="5" fillId="0" borderId="8" xfId="1" applyFont="1" applyBorder="1" applyAlignment="1">
      <alignment horizontal="center"/>
    </xf>
    <xf numFmtId="43" fontId="5" fillId="4" borderId="8" xfId="1" applyNumberFormat="1" applyFont="1" applyFill="1" applyBorder="1" applyAlignment="1">
      <alignment horizontal="center"/>
    </xf>
    <xf numFmtId="9" fontId="15" fillId="0" borderId="0" xfId="2" applyFont="1" applyFill="1" applyAlignment="1">
      <alignment horizontal="right" vertical="top"/>
    </xf>
    <xf numFmtId="9" fontId="7" fillId="0" borderId="0" xfId="2" applyFont="1" applyFill="1" applyAlignment="1">
      <alignment horizontal="right" vertical="top"/>
    </xf>
    <xf numFmtId="0" fontId="4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5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174" fontId="4" fillId="4" borderId="8" xfId="0" applyNumberFormat="1" applyFont="1" applyFill="1" applyBorder="1" applyAlignment="1">
      <alignment horizontal="center"/>
    </xf>
    <xf numFmtId="174" fontId="4" fillId="4" borderId="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4" fontId="4" fillId="2" borderId="0" xfId="3" applyNumberFormat="1" applyFont="1" applyFill="1" applyBorder="1" applyAlignment="1">
      <alignment horizontal="center"/>
    </xf>
    <xf numFmtId="174" fontId="4" fillId="2" borderId="2" xfId="0" applyNumberFormat="1" applyFont="1" applyFill="1" applyBorder="1" applyAlignment="1">
      <alignment horizontal="center"/>
    </xf>
    <xf numFmtId="174" fontId="4" fillId="2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4" fontId="4" fillId="3" borderId="0" xfId="3" applyNumberFormat="1" applyFont="1" applyFill="1" applyBorder="1" applyAlignment="1">
      <alignment horizontal="center"/>
    </xf>
    <xf numFmtId="174" fontId="4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74" fontId="4" fillId="3" borderId="10" xfId="0" applyNumberFormat="1" applyFont="1" applyFill="1" applyBorder="1" applyAlignment="1">
      <alignment horizontal="center"/>
    </xf>
    <xf numFmtId="174" fontId="4" fillId="3" borderId="12" xfId="0" applyNumberFormat="1" applyFont="1" applyFill="1" applyBorder="1" applyAlignment="1">
      <alignment horizontal="center"/>
    </xf>
    <xf numFmtId="174" fontId="4" fillId="3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74" fontId="4" fillId="3" borderId="4" xfId="0" applyNumberFormat="1" applyFont="1" applyFill="1" applyBorder="1" applyAlignment="1">
      <alignment horizontal="center"/>
    </xf>
    <xf numFmtId="174" fontId="4" fillId="3" borderId="5" xfId="0" applyNumberFormat="1" applyFont="1" applyFill="1" applyBorder="1" applyAlignment="1">
      <alignment horizontal="center"/>
    </xf>
    <xf numFmtId="165" fontId="4" fillId="3" borderId="2" xfId="1" applyNumberFormat="1" applyFont="1" applyFill="1" applyBorder="1"/>
    <xf numFmtId="43" fontId="4" fillId="3" borderId="0" xfId="1" applyNumberFormat="1" applyFont="1" applyFill="1"/>
    <xf numFmtId="0" fontId="4" fillId="3" borderId="0" xfId="0" applyFont="1" applyFill="1"/>
    <xf numFmtId="165" fontId="4" fillId="2" borderId="2" xfId="1" applyNumberFormat="1" applyFont="1" applyFill="1" applyBorder="1"/>
    <xf numFmtId="0" fontId="4" fillId="2" borderId="0" xfId="0" applyFont="1" applyFill="1"/>
    <xf numFmtId="43" fontId="4" fillId="2" borderId="0" xfId="1" applyNumberFormat="1" applyFont="1" applyFill="1"/>
    <xf numFmtId="165" fontId="4" fillId="4" borderId="8" xfId="1" applyNumberFormat="1" applyFont="1" applyFill="1" applyBorder="1" applyAlignment="1">
      <alignment wrapText="1"/>
    </xf>
    <xf numFmtId="0" fontId="12" fillId="4" borderId="6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43" fontId="4" fillId="4" borderId="6" xfId="1" applyNumberFormat="1" applyFont="1" applyFill="1" applyBorder="1"/>
    <xf numFmtId="43" fontId="4" fillId="4" borderId="7" xfId="1" applyNumberFormat="1" applyFont="1" applyFill="1" applyBorder="1"/>
    <xf numFmtId="165" fontId="4" fillId="4" borderId="8" xfId="1" applyNumberFormat="1" applyFont="1" applyFill="1" applyBorder="1"/>
    <xf numFmtId="0" fontId="4" fillId="4" borderId="7" xfId="0" applyFont="1" applyFill="1" applyBorder="1"/>
    <xf numFmtId="174" fontId="4" fillId="4" borderId="7" xfId="0" applyNumberFormat="1" applyFont="1" applyFill="1" applyBorder="1"/>
    <xf numFmtId="174" fontId="4" fillId="4" borderId="8" xfId="0" applyNumberFormat="1" applyFont="1" applyFill="1" applyBorder="1"/>
    <xf numFmtId="0" fontId="4" fillId="4" borderId="6" xfId="0" applyFont="1" applyFill="1" applyBorder="1"/>
    <xf numFmtId="0" fontId="4" fillId="0" borderId="3" xfId="0" applyFont="1" applyFill="1" applyBorder="1"/>
    <xf numFmtId="168" fontId="4" fillId="0" borderId="4" xfId="1" applyNumberFormat="1" applyFont="1" applyFill="1" applyBorder="1"/>
    <xf numFmtId="168" fontId="4" fillId="0" borderId="5" xfId="1" applyNumberFormat="1" applyFont="1" applyFill="1" applyBorder="1"/>
    <xf numFmtId="168" fontId="5" fillId="4" borderId="7" xfId="1" applyNumberFormat="1" applyFont="1" applyFill="1" applyBorder="1"/>
    <xf numFmtId="168" fontId="4" fillId="4" borderId="8" xfId="1" applyNumberFormat="1" applyFont="1" applyFill="1" applyBorder="1"/>
    <xf numFmtId="167" fontId="5" fillId="4" borderId="24" xfId="1" applyNumberFormat="1" applyFont="1" applyFill="1" applyBorder="1"/>
    <xf numFmtId="43" fontId="5" fillId="4" borderId="24" xfId="1" applyNumberFormat="1" applyFont="1" applyFill="1" applyBorder="1" applyAlignment="1">
      <alignment horizontal="center" wrapText="1"/>
    </xf>
    <xf numFmtId="167" fontId="5" fillId="4" borderId="29" xfId="1" applyNumberFormat="1" applyFont="1" applyFill="1" applyBorder="1"/>
    <xf numFmtId="165" fontId="4" fillId="5" borderId="24" xfId="1" applyNumberFormat="1" applyFont="1" applyFill="1" applyBorder="1" applyAlignment="1">
      <alignment wrapText="1"/>
    </xf>
    <xf numFmtId="165" fontId="4" fillId="5" borderId="30" xfId="1" applyNumberFormat="1" applyFont="1" applyFill="1" applyBorder="1" applyAlignment="1">
      <alignment wrapText="1"/>
    </xf>
    <xf numFmtId="165" fontId="4" fillId="5" borderId="24" xfId="1" applyNumberFormat="1" applyFont="1" applyFill="1" applyBorder="1"/>
    <xf numFmtId="168" fontId="5" fillId="4" borderId="24" xfId="1" applyNumberFormat="1" applyFont="1" applyFill="1" applyBorder="1"/>
    <xf numFmtId="168" fontId="4" fillId="3" borderId="29" xfId="1" applyNumberFormat="1" applyFont="1" applyFill="1" applyBorder="1"/>
    <xf numFmtId="168" fontId="5" fillId="4" borderId="29" xfId="1" applyNumberFormat="1" applyFont="1" applyFill="1" applyBorder="1"/>
    <xf numFmtId="9" fontId="4" fillId="3" borderId="29" xfId="2" applyFont="1" applyFill="1" applyBorder="1"/>
    <xf numFmtId="43" fontId="5" fillId="4" borderId="24" xfId="1" applyNumberFormat="1" applyFont="1" applyFill="1" applyBorder="1" applyAlignment="1">
      <alignment horizontal="center"/>
    </xf>
    <xf numFmtId="167" fontId="4" fillId="3" borderId="29" xfId="1" applyNumberFormat="1" applyFont="1" applyFill="1" applyBorder="1"/>
    <xf numFmtId="167" fontId="4" fillId="2" borderId="29" xfId="1" applyNumberFormat="1" applyFont="1" applyFill="1" applyBorder="1"/>
    <xf numFmtId="167" fontId="4" fillId="2" borderId="5" xfId="1" applyNumberFormat="1" applyFont="1" applyFill="1" applyBorder="1"/>
    <xf numFmtId="43" fontId="5" fillId="0" borderId="6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4" borderId="6" xfId="1" applyNumberFormat="1" applyFont="1" applyFill="1" applyBorder="1" applyAlignment="1">
      <alignment horizontal="center"/>
    </xf>
    <xf numFmtId="43" fontId="5" fillId="4" borderId="7" xfId="1" applyNumberFormat="1" applyFont="1" applyFill="1" applyBorder="1" applyAlignment="1">
      <alignment horizontal="center"/>
    </xf>
    <xf numFmtId="43" fontId="5" fillId="4" borderId="8" xfId="1" applyNumberFormat="1" applyFont="1" applyFill="1" applyBorder="1" applyAlignment="1">
      <alignment horizontal="center"/>
    </xf>
    <xf numFmtId="9" fontId="5" fillId="4" borderId="5" xfId="2" applyFont="1" applyFill="1" applyBorder="1"/>
    <xf numFmtId="169" fontId="4" fillId="3" borderId="1" xfId="1" applyNumberFormat="1" applyFont="1" applyFill="1" applyBorder="1"/>
    <xf numFmtId="169" fontId="4" fillId="2" borderId="1" xfId="1" applyNumberFormat="1" applyFont="1" applyFill="1" applyBorder="1" applyAlignment="1">
      <alignment vertical="top"/>
    </xf>
    <xf numFmtId="169" fontId="4" fillId="3" borderId="1" xfId="1" applyNumberFormat="1" applyFont="1" applyFill="1" applyBorder="1" applyAlignment="1">
      <alignment vertical="top"/>
    </xf>
    <xf numFmtId="169" fontId="4" fillId="2" borderId="1" xfId="1" applyNumberFormat="1" applyFont="1" applyFill="1" applyBorder="1"/>
    <xf numFmtId="169" fontId="4" fillId="3" borderId="0" xfId="1" applyNumberFormat="1" applyFont="1" applyFill="1" applyBorder="1"/>
    <xf numFmtId="169" fontId="4" fillId="2" borderId="0" xfId="1" applyNumberFormat="1" applyFont="1" applyFill="1" applyBorder="1" applyAlignment="1">
      <alignment vertical="top"/>
    </xf>
    <xf numFmtId="169" fontId="4" fillId="3" borderId="0" xfId="1" applyNumberFormat="1" applyFont="1" applyFill="1" applyBorder="1" applyAlignment="1">
      <alignment vertical="top"/>
    </xf>
    <xf numFmtId="169" fontId="4" fillId="2" borderId="0" xfId="1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Per 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79959"/>
      <color rgb="FF626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Annual Cashflow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'Financial model (Detail)'!$B$61:$B$66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'Financial model (Detail)'!$C$61:$C$66</c:f>
              <c:numCache>
                <c:formatCode>[$$-409]#,##0_);[Red]\([$$-409]#,##0\)</c:formatCode>
                <c:ptCount val="6"/>
                <c:pt idx="0">
                  <c:v>-44275</c:v>
                </c:pt>
                <c:pt idx="1">
                  <c:v>-12152.106200000002</c:v>
                </c:pt>
                <c:pt idx="2">
                  <c:v>16458.173678000006</c:v>
                </c:pt>
                <c:pt idx="3">
                  <c:v>23742.810398089976</c:v>
                </c:pt>
                <c:pt idx="4">
                  <c:v>31752.925417293925</c:v>
                </c:pt>
                <c:pt idx="5">
                  <c:v>41924.183219474522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A4-4F41-B6BE-1185C61E5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059584"/>
        <c:axId val="331057232"/>
      </c:scatterChart>
      <c:valAx>
        <c:axId val="3310595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Operating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057232"/>
        <c:crosses val="autoZero"/>
        <c:crossBetween val="midCat"/>
        <c:majorUnit val="1"/>
        <c:minorUnit val="1"/>
      </c:valAx>
      <c:valAx>
        <c:axId val="33105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Net cashlow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$-409]#,##0_);[Red]\([$$-409]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05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Cumulative Cashflow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'Financial model (Detail)'!$B$61:$B$66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'Financial model (Detail)'!$E$61:$E$66</c:f>
              <c:numCache>
                <c:formatCode>[$$-409]#,##0_);[Red]\([$$-409]#,##0\)</c:formatCode>
                <c:ptCount val="6"/>
                <c:pt idx="0">
                  <c:v>-44275</c:v>
                </c:pt>
                <c:pt idx="1">
                  <c:v>-54401.75516666667</c:v>
                </c:pt>
                <c:pt idx="2">
                  <c:v>-42972.467890277774</c:v>
                </c:pt>
                <c:pt idx="3">
                  <c:v>-29232.415576568295</c:v>
                </c:pt>
                <c:pt idx="4">
                  <c:v>-13919.469291222073</c:v>
                </c:pt>
                <c:pt idx="5">
                  <c:v>2928.919669793604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C8-CB4C-A5F5-3703D9F6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059192"/>
        <c:axId val="331059976"/>
      </c:scatterChart>
      <c:valAx>
        <c:axId val="331059192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Operating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059976"/>
        <c:crosses val="autoZero"/>
        <c:crossBetween val="midCat"/>
        <c:majorUnit val="1"/>
        <c:minorUnit val="1"/>
      </c:valAx>
      <c:valAx>
        <c:axId val="33105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Cumulative cashlow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$-409]#,##0_);[Red]\([$$-409]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059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5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653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6F7E-3B13-3E4F-B265-67746217DE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653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504AFF-045F-5B4C-8D80-0828863C2B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C1B7-E381-5645-90F9-25C0DD213C1F}">
  <dimension ref="A1:T57"/>
  <sheetViews>
    <sheetView showGridLines="0" tabSelected="1" zoomScaleNormal="100" workbookViewId="0">
      <selection activeCell="L39" sqref="L39"/>
    </sheetView>
  </sheetViews>
  <sheetFormatPr baseColWidth="10" defaultColWidth="8.6640625" defaultRowHeight="14" x14ac:dyDescent="0.15"/>
  <cols>
    <col min="1" max="1" width="2" style="2" customWidth="1"/>
    <col min="2" max="2" width="34.33203125" style="2" customWidth="1"/>
    <col min="3" max="3" width="11.83203125" style="6" customWidth="1"/>
    <col min="4" max="7" width="10.6640625" style="7" bestFit="1" customWidth="1"/>
    <col min="8" max="8" width="11.33203125" style="7" bestFit="1" customWidth="1"/>
    <col min="9" max="9" width="14.6640625" style="2" bestFit="1" customWidth="1"/>
    <col min="10" max="10" width="14.6640625" style="2" customWidth="1"/>
    <col min="11" max="11" width="16.5" style="2" bestFit="1" customWidth="1"/>
    <col min="12" max="12" width="14.1640625" style="2" bestFit="1" customWidth="1"/>
    <col min="13" max="13" width="14.6640625" style="2" bestFit="1" customWidth="1"/>
    <col min="14" max="14" width="14.6640625" style="2" customWidth="1"/>
    <col min="15" max="15" width="16.5" style="2" bestFit="1" customWidth="1"/>
    <col min="16" max="16" width="14.1640625" style="2" bestFit="1" customWidth="1"/>
    <col min="17" max="17" width="14.6640625" style="2" bestFit="1" customWidth="1"/>
    <col min="18" max="18" width="14.6640625" style="2" customWidth="1"/>
    <col min="19" max="19" width="16.5" style="2" bestFit="1" customWidth="1"/>
    <col min="20" max="21" width="14.1640625" style="2" bestFit="1" customWidth="1"/>
    <col min="22" max="16384" width="8.6640625" style="2"/>
  </cols>
  <sheetData>
    <row r="1" spans="1:20" ht="19" x14ac:dyDescent="0.2">
      <c r="A1" s="12" t="s">
        <v>152</v>
      </c>
    </row>
    <row r="2" spans="1:20" x14ac:dyDescent="0.15">
      <c r="A2" s="13"/>
      <c r="B2" s="9"/>
    </row>
    <row r="3" spans="1:20" ht="15" thickBot="1" x14ac:dyDescent="0.2">
      <c r="C3" s="7"/>
    </row>
    <row r="4" spans="1:20" ht="15" thickBot="1" x14ac:dyDescent="0.2">
      <c r="C4" s="306" t="s">
        <v>95</v>
      </c>
      <c r="D4" s="242" t="s">
        <v>2</v>
      </c>
      <c r="E4" s="242" t="s">
        <v>3</v>
      </c>
      <c r="F4" s="242" t="s">
        <v>4</v>
      </c>
      <c r="G4" s="242" t="s">
        <v>5</v>
      </c>
      <c r="H4" s="242" t="s">
        <v>6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" thickBot="1" x14ac:dyDescent="0.2">
      <c r="A5" s="17"/>
      <c r="C5" s="241"/>
      <c r="D5" s="241"/>
      <c r="E5" s="241"/>
      <c r="F5" s="241"/>
      <c r="G5" s="241"/>
      <c r="H5" s="241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16" customFormat="1" ht="31" thickBot="1" x14ac:dyDescent="0.2">
      <c r="B6" s="93" t="s">
        <v>92</v>
      </c>
      <c r="C6" s="297" t="s">
        <v>78</v>
      </c>
      <c r="D6" s="89" t="s">
        <v>78</v>
      </c>
      <c r="E6" s="89" t="s">
        <v>78</v>
      </c>
      <c r="F6" s="89" t="s">
        <v>78</v>
      </c>
      <c r="G6" s="89" t="s">
        <v>78</v>
      </c>
      <c r="H6" s="89" t="s">
        <v>78</v>
      </c>
    </row>
    <row r="7" spans="1:20" s="33" customFormat="1" ht="16" thickBot="1" x14ac:dyDescent="0.2">
      <c r="B7" s="28" t="s">
        <v>67</v>
      </c>
      <c r="C7" s="298">
        <f>'Financial model (Detail)'!G28</f>
        <v>44275</v>
      </c>
      <c r="D7" s="87">
        <f>'Financial model (Detail)'!J28</f>
        <v>4050</v>
      </c>
      <c r="E7" s="87">
        <f>'Financial model (Detail)'!M28</f>
        <v>9615</v>
      </c>
      <c r="F7" s="87">
        <f>'Financial model (Detail)'!P28</f>
        <v>7051.6875</v>
      </c>
      <c r="G7" s="87">
        <f>'Financial model (Detail)'!S28</f>
        <v>5674.1137500000004</v>
      </c>
      <c r="H7" s="87">
        <f>'Financial model (Detail)'!V28</f>
        <v>4276.2815625000003</v>
      </c>
    </row>
    <row r="8" spans="1:20" ht="15" thickBot="1" x14ac:dyDescent="0.2"/>
    <row r="9" spans="1:20" s="96" customFormat="1" ht="31" thickBot="1" x14ac:dyDescent="0.2">
      <c r="B9" s="93" t="s">
        <v>144</v>
      </c>
      <c r="C9" s="299"/>
      <c r="D9" s="89" t="s">
        <v>79</v>
      </c>
      <c r="E9" s="89" t="s">
        <v>79</v>
      </c>
      <c r="F9" s="89" t="s">
        <v>79</v>
      </c>
      <c r="G9" s="89" t="s">
        <v>79</v>
      </c>
      <c r="H9" s="89" t="s">
        <v>79</v>
      </c>
    </row>
    <row r="10" spans="1:20" ht="15" thickBot="1" x14ac:dyDescent="0.2">
      <c r="B10" s="49" t="s">
        <v>145</v>
      </c>
      <c r="C10" s="298">
        <f>'Financial model (Detail)'!G41</f>
        <v>0</v>
      </c>
      <c r="D10" s="87">
        <f>'Financial model (Detail)'!J41</f>
        <v>29535.54</v>
      </c>
      <c r="E10" s="87">
        <f>'Financial model (Detail)'!M41</f>
        <v>71654.29740000001</v>
      </c>
      <c r="F10" s="87">
        <f>'Financial model (Detail)'!P41</f>
        <v>85909.453497000024</v>
      </c>
      <c r="G10" s="87">
        <f>'Financial model (Detail)'!S41</f>
        <v>102059.28478903504</v>
      </c>
      <c r="H10" s="87">
        <f>'Financial model (Detail)'!V41</f>
        <v>120358.10668133548</v>
      </c>
    </row>
    <row r="11" spans="1:20" s="51" customFormat="1" ht="15" thickBot="1" x14ac:dyDescent="0.2">
      <c r="C11" s="55"/>
      <c r="D11" s="55"/>
      <c r="E11" s="55"/>
      <c r="F11" s="55"/>
      <c r="G11" s="55"/>
      <c r="H11" s="55"/>
    </row>
    <row r="12" spans="1:20" s="47" customFormat="1" ht="15" thickBot="1" x14ac:dyDescent="0.2">
      <c r="B12" s="56" t="s">
        <v>69</v>
      </c>
      <c r="C12" s="296">
        <f t="shared" ref="C12:H12" si="0">C10+C7</f>
        <v>44275</v>
      </c>
      <c r="D12" s="90">
        <f t="shared" si="0"/>
        <v>33585.54</v>
      </c>
      <c r="E12" s="90">
        <f t="shared" si="0"/>
        <v>81269.29740000001</v>
      </c>
      <c r="F12" s="90">
        <f t="shared" si="0"/>
        <v>92961.140997000024</v>
      </c>
      <c r="G12" s="90">
        <f t="shared" si="0"/>
        <v>107733.39853903504</v>
      </c>
      <c r="H12" s="90">
        <f t="shared" si="0"/>
        <v>124634.38824383548</v>
      </c>
    </row>
    <row r="13" spans="1:20" ht="15" thickBot="1" x14ac:dyDescent="0.2">
      <c r="B13" s="223" t="s">
        <v>70</v>
      </c>
      <c r="C13" s="307">
        <f>'Financial model (Detail)'!G44</f>
        <v>0</v>
      </c>
      <c r="D13" s="170">
        <f>'Financial model (Detail)'!J44</f>
        <v>2987.5</v>
      </c>
      <c r="E13" s="170">
        <f>'Financial model (Detail)'!M44</f>
        <v>2987.5</v>
      </c>
      <c r="F13" s="170">
        <f>'Financial model (Detail)'!P44</f>
        <v>3538.75</v>
      </c>
      <c r="G13" s="170">
        <f>'Financial model (Detail)'!S44</f>
        <v>3828.15625</v>
      </c>
      <c r="H13" s="170">
        <f>'Financial model (Detail)'!V44</f>
        <v>3974.0169999999998</v>
      </c>
    </row>
    <row r="14" spans="1:20" ht="15" thickBot="1" x14ac:dyDescent="0.2">
      <c r="B14" s="108" t="s">
        <v>99</v>
      </c>
      <c r="C14" s="308">
        <f>'Financial model (Detail)'!G45</f>
        <v>0</v>
      </c>
      <c r="D14" s="309">
        <f>'Financial model (Detail)'!J45</f>
        <v>886.06619999999998</v>
      </c>
      <c r="E14" s="309">
        <f>'Financial model (Detail)'!M45</f>
        <v>2149.6289220000003</v>
      </c>
      <c r="F14" s="309">
        <f>'Financial model (Detail)'!P45</f>
        <v>2577.2836049100006</v>
      </c>
      <c r="G14" s="309">
        <f>'Financial model (Detail)'!S45</f>
        <v>3061.778543671051</v>
      </c>
      <c r="H14" s="309">
        <f>'Financial model (Detail)'!V45</f>
        <v>3610.7432004400644</v>
      </c>
    </row>
    <row r="15" spans="1:20" ht="15" thickBot="1" x14ac:dyDescent="0.2">
      <c r="B15" s="61" t="s">
        <v>66</v>
      </c>
      <c r="C15" s="298">
        <f t="shared" ref="C15:H15" si="1">SUM(C12:C14)</f>
        <v>44275</v>
      </c>
      <c r="D15" s="90">
        <f t="shared" si="1"/>
        <v>37459.106200000002</v>
      </c>
      <c r="E15" s="90">
        <f t="shared" si="1"/>
        <v>86406.426322000014</v>
      </c>
      <c r="F15" s="90">
        <f t="shared" si="1"/>
        <v>99077.174601910025</v>
      </c>
      <c r="G15" s="90">
        <f t="shared" si="1"/>
        <v>114623.3333327061</v>
      </c>
      <c r="H15" s="90">
        <f t="shared" si="1"/>
        <v>132219.14844427555</v>
      </c>
    </row>
    <row r="16" spans="1:20" s="51" customFormat="1" ht="15" thickBot="1" x14ac:dyDescent="0.2">
      <c r="D16" s="55"/>
      <c r="E16" s="55"/>
      <c r="F16" s="55"/>
      <c r="G16" s="55"/>
      <c r="H16" s="55"/>
    </row>
    <row r="17" spans="2:19" s="96" customFormat="1" ht="45" x14ac:dyDescent="0.15">
      <c r="B17" s="97" t="s">
        <v>33</v>
      </c>
      <c r="C17" s="300"/>
      <c r="D17" s="102" t="s">
        <v>91</v>
      </c>
      <c r="E17" s="102" t="str">
        <f>D17</f>
        <v>Total income (USD/yr)</v>
      </c>
      <c r="F17" s="102" t="str">
        <f>E17</f>
        <v>Total income (USD/yr)</v>
      </c>
      <c r="G17" s="102" t="str">
        <f>F17</f>
        <v>Total income (USD/yr)</v>
      </c>
      <c r="H17" s="102" t="str">
        <f t="shared" ref="H17" si="2">G17</f>
        <v>Total income (USD/yr)</v>
      </c>
    </row>
    <row r="18" spans="2:19" ht="15" thickBot="1" x14ac:dyDescent="0.2">
      <c r="B18" s="134" t="s">
        <v>20</v>
      </c>
      <c r="C18" s="298">
        <f>'Financial model (Detail)'!G49</f>
        <v>0</v>
      </c>
      <c r="D18" s="87">
        <f>'Financial model (Detail)'!J49</f>
        <v>81000</v>
      </c>
      <c r="E18" s="87">
        <f>'Financial model (Detail)'!M49</f>
        <v>187110</v>
      </c>
      <c r="F18" s="87">
        <f>'Financial model (Detail)'!P49</f>
        <v>216112.05000000002</v>
      </c>
      <c r="G18" s="87">
        <f>'Financial model (Detail)'!S49</f>
        <v>249609.41775000002</v>
      </c>
      <c r="H18" s="87">
        <f>'Financial model (Detail)'!V49</f>
        <v>288298.87750125007</v>
      </c>
    </row>
    <row r="19" spans="2:19" ht="15" thickBot="1" x14ac:dyDescent="0.2">
      <c r="B19" s="49" t="s">
        <v>72</v>
      </c>
      <c r="C19" s="301"/>
      <c r="D19" s="90">
        <f>SUM(D18:D18)</f>
        <v>81000</v>
      </c>
      <c r="E19" s="90">
        <f>SUM(E18:E18)</f>
        <v>187110</v>
      </c>
      <c r="F19" s="90">
        <f>SUM(F18:F18)</f>
        <v>216112.05000000002</v>
      </c>
      <c r="G19" s="90">
        <f>SUM(G18:G18)</f>
        <v>249609.41775000002</v>
      </c>
      <c r="H19" s="90">
        <f>SUM(H18:H18)</f>
        <v>288298.87750125007</v>
      </c>
    </row>
    <row r="20" spans="2:19" s="51" customFormat="1" ht="15" thickBot="1" x14ac:dyDescent="0.2">
      <c r="D20" s="104"/>
      <c r="E20" s="104"/>
      <c r="F20" s="104"/>
      <c r="G20" s="104"/>
      <c r="H20" s="10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s="18" customFormat="1" ht="15" thickBot="1" x14ac:dyDescent="0.2">
      <c r="B21" s="19" t="s">
        <v>124</v>
      </c>
      <c r="C21" s="302">
        <f t="shared" ref="C21:H21" si="3">C19-C15</f>
        <v>-44275</v>
      </c>
      <c r="D21" s="113">
        <f t="shared" si="3"/>
        <v>43540.893799999998</v>
      </c>
      <c r="E21" s="113">
        <f t="shared" si="3"/>
        <v>100703.57367799999</v>
      </c>
      <c r="F21" s="113">
        <f t="shared" si="3"/>
        <v>117034.87539808999</v>
      </c>
      <c r="G21" s="113">
        <f t="shared" si="3"/>
        <v>134986.08441729393</v>
      </c>
      <c r="H21" s="113">
        <f t="shared" si="3"/>
        <v>156079.72905697452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s="47" customFormat="1" ht="15" thickBot="1" x14ac:dyDescent="0.2">
      <c r="B22" s="219" t="s">
        <v>125</v>
      </c>
      <c r="C22" s="303">
        <f>'Fixed costs'!G31</f>
        <v>0</v>
      </c>
      <c r="D22" s="222">
        <f>'Fixed costs'!J31</f>
        <v>55693</v>
      </c>
      <c r="E22" s="222">
        <f>'Fixed costs'!M31</f>
        <v>84245.39999999998</v>
      </c>
      <c r="F22" s="222">
        <f>'Fixed costs'!P31</f>
        <v>93292.065000000017</v>
      </c>
      <c r="G22" s="222">
        <f>'Fixed costs'!S31</f>
        <v>103233.159</v>
      </c>
      <c r="H22" s="222">
        <f>'Fixed costs'!V31</f>
        <v>114155.5458375</v>
      </c>
    </row>
    <row r="23" spans="2:19" s="47" customFormat="1" ht="15" thickBot="1" x14ac:dyDescent="0.2">
      <c r="B23" s="219" t="s">
        <v>155</v>
      </c>
      <c r="C23" s="303"/>
      <c r="D23" s="153">
        <f>D22/D19</f>
        <v>0.6875679012345679</v>
      </c>
      <c r="E23" s="153">
        <f t="shared" ref="E23:H23" si="4">E22/E19</f>
        <v>0.45024531024531012</v>
      </c>
      <c r="F23" s="153">
        <f t="shared" si="4"/>
        <v>0.43168377237641309</v>
      </c>
      <c r="G23" s="153">
        <f t="shared" si="4"/>
        <v>0.41357878212509869</v>
      </c>
      <c r="H23" s="153">
        <f t="shared" si="4"/>
        <v>0.39596250539340039</v>
      </c>
    </row>
    <row r="24" spans="2:19" s="18" customFormat="1" ht="15" thickBot="1" x14ac:dyDescent="0.2">
      <c r="B24" s="215" t="s">
        <v>126</v>
      </c>
      <c r="C24" s="304">
        <f>C21-C22</f>
        <v>-44275</v>
      </c>
      <c r="D24" s="217">
        <f>D21-D22</f>
        <v>-12152.106200000002</v>
      </c>
      <c r="E24" s="217">
        <f>E21-E22</f>
        <v>16458.173678000006</v>
      </c>
      <c r="F24" s="217">
        <f>F21-F22</f>
        <v>23742.810398089976</v>
      </c>
      <c r="G24" s="217">
        <f>G21-G22</f>
        <v>31752.925417293925</v>
      </c>
      <c r="H24" s="217">
        <f>H21-H22</f>
        <v>41924.183219474522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 thickBot="1" x14ac:dyDescent="0.2">
      <c r="B25" s="70" t="s">
        <v>32</v>
      </c>
      <c r="C25" s="305">
        <f>C24/C15</f>
        <v>-1</v>
      </c>
      <c r="D25" s="153">
        <f>D24/D15</f>
        <v>-0.32440993479977909</v>
      </c>
      <c r="E25" s="153">
        <f>E24/E15</f>
        <v>0.19047395406294657</v>
      </c>
      <c r="F25" s="153">
        <f>F24/F15</f>
        <v>0.23963955869238382</v>
      </c>
      <c r="G25" s="153">
        <f>G24/G15</f>
        <v>0.27701973493588578</v>
      </c>
      <c r="H25" s="153">
        <f>H24/H15</f>
        <v>0.31708102580273151</v>
      </c>
    </row>
    <row r="26" spans="2:19" s="47" customFormat="1" x14ac:dyDescent="0.15">
      <c r="B26" s="17"/>
      <c r="C26" s="75"/>
      <c r="D26" s="75"/>
      <c r="E26" s="75"/>
      <c r="F26" s="75"/>
      <c r="G26" s="75"/>
      <c r="H26" s="7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x14ac:dyDescent="0.15">
      <c r="C27" s="2"/>
      <c r="D27" s="2"/>
    </row>
    <row r="28" spans="2:19" x14ac:dyDescent="0.15">
      <c r="C28" s="2"/>
      <c r="D28" s="2"/>
      <c r="E28" s="2"/>
      <c r="F28" s="2"/>
      <c r="G28" s="2"/>
      <c r="H28" s="2"/>
    </row>
    <row r="29" spans="2:19" x14ac:dyDescent="0.15">
      <c r="B29" s="151"/>
      <c r="C29" s="2"/>
      <c r="D29" s="2"/>
      <c r="E29" s="2"/>
      <c r="F29" s="2"/>
      <c r="G29" s="2"/>
      <c r="H29" s="2"/>
    </row>
    <row r="30" spans="2:19" x14ac:dyDescent="0.15">
      <c r="B30" s="150"/>
      <c r="C30" s="2"/>
      <c r="D30" s="2"/>
      <c r="E30" s="2"/>
      <c r="F30" s="2"/>
      <c r="G30" s="2"/>
      <c r="H30" s="2"/>
    </row>
    <row r="31" spans="2:19" x14ac:dyDescent="0.15">
      <c r="B31" s="152"/>
      <c r="C31" s="2"/>
      <c r="D31" s="2"/>
      <c r="E31" s="2"/>
      <c r="F31" s="2"/>
      <c r="G31" s="2"/>
      <c r="H31" s="2"/>
    </row>
    <row r="32" spans="2:19" x14ac:dyDescent="0.15">
      <c r="C32" s="2"/>
      <c r="D32" s="2"/>
      <c r="E32" s="2"/>
      <c r="F32" s="2"/>
      <c r="G32" s="2"/>
      <c r="H32" s="2"/>
    </row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  <row r="38" s="2" customFormat="1" x14ac:dyDescent="0.15"/>
    <row r="39" s="2" customFormat="1" x14ac:dyDescent="0.15"/>
    <row r="40" s="2" customForma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5"/>
  <sheetViews>
    <sheetView showGridLines="0" topLeftCell="A31" zoomScaleNormal="100" workbookViewId="0">
      <selection activeCell="C72" sqref="C72"/>
    </sheetView>
  </sheetViews>
  <sheetFormatPr baseColWidth="10" defaultColWidth="8.6640625" defaultRowHeight="14" x14ac:dyDescent="0.15"/>
  <cols>
    <col min="1" max="1" width="2" style="2" customWidth="1"/>
    <col min="2" max="2" width="34.33203125" style="2" customWidth="1"/>
    <col min="3" max="3" width="20" style="10" customWidth="1"/>
    <col min="4" max="4" width="15" style="10" customWidth="1"/>
    <col min="5" max="5" width="11.5" style="6" customWidth="1"/>
    <col min="6" max="6" width="10.83203125" style="6" customWidth="1"/>
    <col min="7" max="7" width="17.6640625" style="6" customWidth="1"/>
    <col min="8" max="8" width="9.6640625" style="7" customWidth="1"/>
    <col min="9" max="9" width="11.83203125" style="7" customWidth="1"/>
    <col min="10" max="10" width="10.6640625" style="7" bestFit="1" customWidth="1"/>
    <col min="11" max="11" width="9.6640625" style="7" customWidth="1"/>
    <col min="12" max="12" width="10.6640625" style="7" customWidth="1"/>
    <col min="13" max="13" width="10.6640625" style="7" bestFit="1" customWidth="1"/>
    <col min="14" max="14" width="9.6640625" style="7" customWidth="1"/>
    <col min="15" max="15" width="10.6640625" style="7" customWidth="1"/>
    <col min="16" max="16" width="10.6640625" style="7" bestFit="1" customWidth="1"/>
    <col min="17" max="17" width="9.6640625" style="7" customWidth="1"/>
    <col min="18" max="18" width="10.6640625" style="7" customWidth="1"/>
    <col min="19" max="19" width="10.6640625" style="7" bestFit="1" customWidth="1"/>
    <col min="20" max="20" width="9.6640625" style="7" customWidth="1"/>
    <col min="21" max="21" width="10.6640625" style="7" customWidth="1"/>
    <col min="22" max="22" width="11.33203125" style="7" bestFit="1" customWidth="1"/>
    <col min="23" max="23" width="14.6640625" style="2" bestFit="1" customWidth="1"/>
    <col min="24" max="24" width="14.6640625" style="2" customWidth="1"/>
    <col min="25" max="25" width="16.5" style="2" bestFit="1" customWidth="1"/>
    <col min="26" max="26" width="14.1640625" style="2" bestFit="1" customWidth="1"/>
    <col min="27" max="27" width="14.6640625" style="2" bestFit="1" customWidth="1"/>
    <col min="28" max="28" width="14.6640625" style="2" customWidth="1"/>
    <col min="29" max="29" width="16.5" style="2" bestFit="1" customWidth="1"/>
    <col min="30" max="30" width="14.1640625" style="2" bestFit="1" customWidth="1"/>
    <col min="31" max="31" width="14.6640625" style="2" bestFit="1" customWidth="1"/>
    <col min="32" max="32" width="14.6640625" style="2" customWidth="1"/>
    <col min="33" max="33" width="16.5" style="2" bestFit="1" customWidth="1"/>
    <col min="34" max="35" width="14.1640625" style="2" bestFit="1" customWidth="1"/>
    <col min="36" max="16384" width="8.6640625" style="2"/>
  </cols>
  <sheetData>
    <row r="1" spans="1:34" ht="20" thickBot="1" x14ac:dyDescent="0.25">
      <c r="A1" s="12" t="s">
        <v>104</v>
      </c>
    </row>
    <row r="2" spans="1:34" ht="15" thickBot="1" x14ac:dyDescent="0.2">
      <c r="A2" s="13"/>
      <c r="B2" s="9" t="s">
        <v>97</v>
      </c>
      <c r="E2" s="119"/>
      <c r="F2" s="111"/>
    </row>
    <row r="3" spans="1:34" x14ac:dyDescent="0.15">
      <c r="C3" s="2"/>
      <c r="D3" s="14"/>
      <c r="E3" s="15"/>
      <c r="F3" s="15"/>
    </row>
    <row r="4" spans="1:34" x14ac:dyDescent="0.15">
      <c r="B4" s="3" t="s">
        <v>76</v>
      </c>
      <c r="C4" s="2"/>
      <c r="D4" s="14"/>
      <c r="E4" s="15"/>
      <c r="F4" s="15"/>
    </row>
    <row r="5" spans="1:34" x14ac:dyDescent="0.15">
      <c r="B5" s="2" t="s">
        <v>46</v>
      </c>
      <c r="C5" s="110">
        <v>30</v>
      </c>
      <c r="D5" s="4" t="s">
        <v>102</v>
      </c>
      <c r="E5" s="5"/>
      <c r="F5" s="5"/>
      <c r="G5" s="2"/>
      <c r="I5" s="2"/>
    </row>
    <row r="6" spans="1:34" x14ac:dyDescent="0.15">
      <c r="B6" s="2" t="s">
        <v>110</v>
      </c>
      <c r="C6" s="243">
        <v>1.0275000000000001</v>
      </c>
      <c r="D6" s="5" t="s">
        <v>111</v>
      </c>
      <c r="E6" s="5"/>
      <c r="F6" s="5"/>
      <c r="G6" s="2"/>
      <c r="I6" s="2"/>
    </row>
    <row r="7" spans="1:34" x14ac:dyDescent="0.15">
      <c r="B7" s="2" t="s">
        <v>143</v>
      </c>
      <c r="C7" s="244">
        <v>0.34250000000000003</v>
      </c>
      <c r="D7" s="4" t="s">
        <v>101</v>
      </c>
      <c r="E7" s="5"/>
      <c r="F7" s="5"/>
      <c r="G7" s="2"/>
      <c r="H7" s="2"/>
      <c r="I7" s="2"/>
    </row>
    <row r="8" spans="1:34" x14ac:dyDescent="0.15">
      <c r="C8" s="109"/>
      <c r="G8" s="114"/>
    </row>
    <row r="9" spans="1:34" ht="15" thickBot="1" x14ac:dyDescent="0.2">
      <c r="C9" s="115"/>
      <c r="D9" s="4"/>
      <c r="G9" s="7"/>
    </row>
    <row r="10" spans="1:34" ht="15" thickBot="1" x14ac:dyDescent="0.2">
      <c r="C10" s="11"/>
      <c r="E10" s="313" t="s">
        <v>95</v>
      </c>
      <c r="F10" s="314"/>
      <c r="G10" s="315"/>
      <c r="H10" s="313" t="s">
        <v>2</v>
      </c>
      <c r="I10" s="314"/>
      <c r="J10" s="315"/>
      <c r="K10" s="313" t="s">
        <v>3</v>
      </c>
      <c r="L10" s="314"/>
      <c r="M10" s="315"/>
      <c r="N10" s="313" t="s">
        <v>4</v>
      </c>
      <c r="O10" s="314"/>
      <c r="P10" s="315"/>
      <c r="Q10" s="313" t="s">
        <v>5</v>
      </c>
      <c r="R10" s="314"/>
      <c r="S10" s="315"/>
      <c r="T10" s="313" t="s">
        <v>6</v>
      </c>
      <c r="U10" s="314"/>
      <c r="V10" s="3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5" thickBot="1" x14ac:dyDescent="0.2">
      <c r="A11" s="17"/>
      <c r="E11" s="310" t="s">
        <v>63</v>
      </c>
      <c r="F11" s="311"/>
      <c r="G11" s="312"/>
      <c r="H11" s="310" t="s">
        <v>64</v>
      </c>
      <c r="I11" s="311"/>
      <c r="J11" s="312"/>
      <c r="K11" s="310" t="s">
        <v>64</v>
      </c>
      <c r="L11" s="311"/>
      <c r="M11" s="312"/>
      <c r="N11" s="310" t="s">
        <v>64</v>
      </c>
      <c r="O11" s="311"/>
      <c r="P11" s="312"/>
      <c r="Q11" s="310" t="s">
        <v>64</v>
      </c>
      <c r="R11" s="311"/>
      <c r="S11" s="312"/>
      <c r="T11" s="310" t="s">
        <v>64</v>
      </c>
      <c r="U11" s="311"/>
      <c r="V11" s="31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16" customFormat="1" ht="31" thickBot="1" x14ac:dyDescent="0.2">
      <c r="B12" s="93" t="s">
        <v>92</v>
      </c>
      <c r="C12" s="88" t="s">
        <v>65</v>
      </c>
      <c r="D12" s="88" t="s">
        <v>40</v>
      </c>
      <c r="E12" s="92" t="s">
        <v>62</v>
      </c>
      <c r="F12" s="88" t="s">
        <v>77</v>
      </c>
      <c r="G12" s="89" t="s">
        <v>78</v>
      </c>
      <c r="H12" s="92" t="s">
        <v>62</v>
      </c>
      <c r="I12" s="88" t="s">
        <v>77</v>
      </c>
      <c r="J12" s="89" t="s">
        <v>78</v>
      </c>
      <c r="K12" s="92" t="s">
        <v>62</v>
      </c>
      <c r="L12" s="88" t="s">
        <v>77</v>
      </c>
      <c r="M12" s="89" t="s">
        <v>78</v>
      </c>
      <c r="N12" s="92" t="s">
        <v>62</v>
      </c>
      <c r="O12" s="88" t="s">
        <v>77</v>
      </c>
      <c r="P12" s="89" t="s">
        <v>78</v>
      </c>
      <c r="Q12" s="92" t="s">
        <v>62</v>
      </c>
      <c r="R12" s="88" t="s">
        <v>77</v>
      </c>
      <c r="S12" s="89" t="s">
        <v>78</v>
      </c>
      <c r="T12" s="92" t="s">
        <v>62</v>
      </c>
      <c r="U12" s="88" t="s">
        <v>77</v>
      </c>
      <c r="V12" s="89" t="s">
        <v>78</v>
      </c>
    </row>
    <row r="13" spans="1:34" ht="15" x14ac:dyDescent="0.15">
      <c r="A13" s="17"/>
      <c r="B13" s="20" t="s">
        <v>113</v>
      </c>
      <c r="C13" s="117">
        <v>30</v>
      </c>
      <c r="D13" s="21"/>
      <c r="E13" s="22">
        <f>ROUNDUP(IF($C$5&lt;$C13,1,$C$5/$C13),0)</f>
        <v>1</v>
      </c>
      <c r="F13" s="82">
        <v>3800</v>
      </c>
      <c r="G13" s="83">
        <f t="shared" ref="G13:G25" si="0">E13*F13</f>
        <v>3800</v>
      </c>
      <c r="H13" s="21">
        <f>ROUNDUP(IF(H$49&lt;$C13,1,H$49/$C13),0)-E13</f>
        <v>0</v>
      </c>
      <c r="I13" s="82">
        <f>F13*(1+Assumptions!$C$30)</f>
        <v>3990</v>
      </c>
      <c r="J13" s="83">
        <f t="shared" ref="J13:J21" si="1">H13*I13</f>
        <v>0</v>
      </c>
      <c r="K13" s="21">
        <f>ROUNDUP(IF(K$49&lt;$C13,1,K$49/$C13),0)-H13-E13</f>
        <v>1</v>
      </c>
      <c r="L13" s="82">
        <f>I13*(1+Assumptions!$C$30)</f>
        <v>4189.5</v>
      </c>
      <c r="M13" s="83">
        <f t="shared" ref="M13:M21" si="2">K13*L13</f>
        <v>4189.5</v>
      </c>
      <c r="N13" s="21">
        <f>ROUNDUP(IF(N$49&lt;$C13,1,N$49/$C13),0)-K13-H13-E13</f>
        <v>0</v>
      </c>
      <c r="O13" s="82">
        <f>L13*(1+Assumptions!$C$30)</f>
        <v>4398.9750000000004</v>
      </c>
      <c r="P13" s="83">
        <f t="shared" ref="P13:P21" si="3">N13*O13</f>
        <v>0</v>
      </c>
      <c r="Q13" s="21">
        <f>ROUNDUP(IF(Q$49&lt;$C13,1,Q$49/$C13),0)-N13-K13-H13-E13</f>
        <v>0</v>
      </c>
      <c r="R13" s="82">
        <f>O13*(1+Assumptions!$C$30)</f>
        <v>4618.9237500000008</v>
      </c>
      <c r="S13" s="83">
        <f t="shared" ref="S13:S21" si="4">Q13*R13</f>
        <v>0</v>
      </c>
      <c r="T13" s="21">
        <f>ROUNDUP(IF(T$49&lt;$C13,1,T$49/$C13),0)-Q13-N13-K13-H13-E13</f>
        <v>0</v>
      </c>
      <c r="U13" s="82">
        <f>R13*(1+Assumptions!$C$30)</f>
        <v>4849.8699375000015</v>
      </c>
      <c r="V13" s="83">
        <f t="shared" ref="V13:V21" si="5">T13*U13</f>
        <v>0</v>
      </c>
    </row>
    <row r="14" spans="1:34" ht="15" x14ac:dyDescent="0.15">
      <c r="A14" s="17"/>
      <c r="B14" s="24" t="s">
        <v>114</v>
      </c>
      <c r="C14" s="118">
        <v>60</v>
      </c>
      <c r="D14" s="25"/>
      <c r="E14" s="26">
        <f>ROUNDUP(IF($C$5&lt;C$14,1,$C$5/C$14),0)</f>
        <v>1</v>
      </c>
      <c r="F14" s="84">
        <v>3900</v>
      </c>
      <c r="G14" s="85">
        <f t="shared" si="0"/>
        <v>3900</v>
      </c>
      <c r="H14" s="25">
        <f>ROUNDUP(IF(H$49&lt;$C14,1,H$49/$C14),0)-E14</f>
        <v>0</v>
      </c>
      <c r="I14" s="84">
        <f>F14*(1+Assumptions!$C$30)</f>
        <v>4095</v>
      </c>
      <c r="J14" s="85">
        <f t="shared" si="1"/>
        <v>0</v>
      </c>
      <c r="K14" s="25">
        <f>ROUNDUP(IF(K$49&lt;$C14,1,K$49/$C14),0)-H14-E14</f>
        <v>0</v>
      </c>
      <c r="L14" s="84">
        <f>I14*(1+Assumptions!$C$30)</f>
        <v>4299.75</v>
      </c>
      <c r="M14" s="85">
        <f t="shared" si="2"/>
        <v>0</v>
      </c>
      <c r="N14" s="25">
        <f>ROUNDUP(IF(N$49&lt;$C14,1,N$49/$C14),0)-K14-H14-E14</f>
        <v>0</v>
      </c>
      <c r="O14" s="84">
        <f>L14*(1+Assumptions!$C$30)</f>
        <v>4514.7375000000002</v>
      </c>
      <c r="P14" s="85">
        <f t="shared" si="3"/>
        <v>0</v>
      </c>
      <c r="Q14" s="25">
        <f>ROUNDUP(IF(Q$49&lt;$C14,1,Q$49/$C14),0)-N14-K14-H14-E14</f>
        <v>0</v>
      </c>
      <c r="R14" s="84">
        <f>O14*(1+Assumptions!$C$30)</f>
        <v>4740.4743750000007</v>
      </c>
      <c r="S14" s="85">
        <f t="shared" si="4"/>
        <v>0</v>
      </c>
      <c r="T14" s="25">
        <f>ROUNDUP(IF(T$49&lt;$C14,1,T$49/$C14),0)-Q14-N14-K14-H14-E14</f>
        <v>0</v>
      </c>
      <c r="U14" s="84">
        <f>R14*(1+Assumptions!$C$30)</f>
        <v>4977.4980937500013</v>
      </c>
      <c r="V14" s="85">
        <f t="shared" si="5"/>
        <v>0</v>
      </c>
    </row>
    <row r="15" spans="1:34" ht="15" x14ac:dyDescent="0.15">
      <c r="A15" s="17"/>
      <c r="B15" s="20" t="s">
        <v>42</v>
      </c>
      <c r="C15" s="117">
        <v>100</v>
      </c>
      <c r="D15" s="21"/>
      <c r="E15" s="22">
        <f>ROUNDUP(IF($C$5&lt;C$15,1,$C$5/C$15),0)</f>
        <v>1</v>
      </c>
      <c r="F15" s="82">
        <f>Assumptions!C37</f>
        <v>100</v>
      </c>
      <c r="G15" s="83">
        <f t="shared" si="0"/>
        <v>100</v>
      </c>
      <c r="H15" s="21">
        <f>ROUNDUP(IF(H$49&lt;$C15,1,H$49/$C15),0)-E15</f>
        <v>0</v>
      </c>
      <c r="I15" s="82">
        <f>F15*(1+Assumptions!$C$30)</f>
        <v>105</v>
      </c>
      <c r="J15" s="83">
        <f t="shared" si="1"/>
        <v>0</v>
      </c>
      <c r="K15" s="21">
        <f>ROUNDUP(IF(K$49&lt;$C15,1,K$49/$C15),0)-H15-E15</f>
        <v>0</v>
      </c>
      <c r="L15" s="82">
        <f>I15*(1+Assumptions!$C$30)</f>
        <v>110.25</v>
      </c>
      <c r="M15" s="83">
        <f t="shared" si="2"/>
        <v>0</v>
      </c>
      <c r="N15" s="21">
        <f>ROUNDUP(IF(N$49&lt;$C15,1,N$49/$C15),0)-K15-H15-E15</f>
        <v>0</v>
      </c>
      <c r="O15" s="82">
        <f>L15*(1+Assumptions!$C$30)</f>
        <v>115.7625</v>
      </c>
      <c r="P15" s="83">
        <f t="shared" si="3"/>
        <v>0</v>
      </c>
      <c r="Q15" s="21">
        <f>ROUNDUP(IF(Q$49&lt;$C15,1,Q$49/$C15),0)-N15-K15-H15-E15</f>
        <v>0</v>
      </c>
      <c r="R15" s="82">
        <f>O15*(1+Assumptions!$C$30)</f>
        <v>121.55062500000001</v>
      </c>
      <c r="S15" s="83">
        <f t="shared" si="4"/>
        <v>0</v>
      </c>
      <c r="T15" s="21">
        <f>ROUNDUP(IF(T$49&lt;$C15,1,T$49/$C15),0)-Q15-N15-K15-H15-E15</f>
        <v>0</v>
      </c>
      <c r="U15" s="82">
        <f>R15*(1+Assumptions!$C$30)</f>
        <v>127.62815625000002</v>
      </c>
      <c r="V15" s="83">
        <f t="shared" si="5"/>
        <v>0</v>
      </c>
    </row>
    <row r="16" spans="1:34" ht="15" x14ac:dyDescent="0.15">
      <c r="A16" s="17"/>
      <c r="B16" s="20" t="s">
        <v>115</v>
      </c>
      <c r="C16" s="117">
        <v>100</v>
      </c>
      <c r="D16" s="21"/>
      <c r="E16" s="22">
        <f>ROUNDUP(IF($C$5&lt;C$15,1,$C$5/C$15),0)</f>
        <v>1</v>
      </c>
      <c r="F16" s="82">
        <f>Assumptions!C38</f>
        <v>1250</v>
      </c>
      <c r="G16" s="83">
        <f t="shared" ref="G16" si="6">E16*F16</f>
        <v>1250</v>
      </c>
      <c r="H16" s="21">
        <f>ROUNDUP(IF(H$49&lt;$C16,1,H$49/$C16),0)-E16</f>
        <v>0</v>
      </c>
      <c r="I16" s="82">
        <f>F16*(1+Assumptions!$C$30)</f>
        <v>1312.5</v>
      </c>
      <c r="J16" s="83">
        <f t="shared" ref="J16" si="7">H16*I16</f>
        <v>0</v>
      </c>
      <c r="K16" s="21">
        <f>ROUNDUP(IF(K$49&lt;$C16,1,K$49/$C16),0)-H16-E16</f>
        <v>0</v>
      </c>
      <c r="L16" s="82">
        <f>I16*(1+Assumptions!$C$30)</f>
        <v>1378.125</v>
      </c>
      <c r="M16" s="83">
        <f t="shared" ref="M16" si="8">K16*L16</f>
        <v>0</v>
      </c>
      <c r="N16" s="21">
        <f>ROUNDUP(IF(N$49&lt;$C16,1,N$49/$C16),0)-K16-H16-E16</f>
        <v>0</v>
      </c>
      <c r="O16" s="82">
        <f>L16*(1+Assumptions!$C$30)</f>
        <v>1447.03125</v>
      </c>
      <c r="P16" s="83">
        <f t="shared" ref="P16" si="9">N16*O16</f>
        <v>0</v>
      </c>
      <c r="Q16" s="21">
        <f>ROUNDUP(IF(Q$49&lt;$C16,1,Q$49/$C16),0)-N16-K16-H16-E16</f>
        <v>0</v>
      </c>
      <c r="R16" s="82">
        <f>O16*(1+Assumptions!$C$30)</f>
        <v>1519.3828125</v>
      </c>
      <c r="S16" s="83">
        <f t="shared" ref="S16" si="10">Q16*R16</f>
        <v>0</v>
      </c>
      <c r="T16" s="21">
        <f>ROUNDUP(IF(T$49&lt;$C16,1,T$49/$C16),0)-Q16-N16-K16-H16-E16</f>
        <v>0</v>
      </c>
      <c r="U16" s="82">
        <f>R16*(1+Assumptions!$C$30)</f>
        <v>1595.3519531250001</v>
      </c>
      <c r="V16" s="83">
        <f t="shared" ref="V16" si="11">T16*U16</f>
        <v>0</v>
      </c>
    </row>
    <row r="17" spans="1:22" ht="15" x14ac:dyDescent="0.15">
      <c r="A17" s="17"/>
      <c r="B17" s="24" t="s">
        <v>116</v>
      </c>
      <c r="C17" s="118"/>
      <c r="D17" s="25"/>
      <c r="E17" s="26">
        <v>2</v>
      </c>
      <c r="F17" s="84">
        <f>Assumptions!C38</f>
        <v>1250</v>
      </c>
      <c r="G17" s="85">
        <f t="shared" si="0"/>
        <v>2500</v>
      </c>
      <c r="H17" s="25">
        <v>0</v>
      </c>
      <c r="I17" s="84">
        <f>F17*(1+Assumptions!$C$30)</f>
        <v>1312.5</v>
      </c>
      <c r="J17" s="85">
        <f t="shared" si="1"/>
        <v>0</v>
      </c>
      <c r="K17" s="25">
        <v>0</v>
      </c>
      <c r="L17" s="84">
        <f>I17*(1+Assumptions!$C$30)</f>
        <v>1378.125</v>
      </c>
      <c r="M17" s="85">
        <f t="shared" si="2"/>
        <v>0</v>
      </c>
      <c r="N17" s="25">
        <v>2</v>
      </c>
      <c r="O17" s="84">
        <f>L17*(1+Assumptions!$C$30)</f>
        <v>1447.03125</v>
      </c>
      <c r="P17" s="85">
        <f t="shared" si="3"/>
        <v>2894.0625</v>
      </c>
      <c r="Q17" s="25">
        <v>0</v>
      </c>
      <c r="R17" s="84">
        <f>O17*(1+Assumptions!$C$30)</f>
        <v>1519.3828125</v>
      </c>
      <c r="S17" s="85">
        <f t="shared" si="4"/>
        <v>0</v>
      </c>
      <c r="T17" s="25">
        <v>0</v>
      </c>
      <c r="U17" s="84">
        <f>R17*(1+Assumptions!$C$30)</f>
        <v>1595.3519531250001</v>
      </c>
      <c r="V17" s="85">
        <f t="shared" si="5"/>
        <v>0</v>
      </c>
    </row>
    <row r="18" spans="1:22" ht="15" x14ac:dyDescent="0.15">
      <c r="A18" s="17"/>
      <c r="B18" s="20" t="s">
        <v>117</v>
      </c>
      <c r="C18" s="117"/>
      <c r="D18" s="21"/>
      <c r="E18" s="22">
        <v>1</v>
      </c>
      <c r="F18" s="82">
        <f>Assumptions!C39</f>
        <v>15625</v>
      </c>
      <c r="G18" s="83">
        <f t="shared" si="0"/>
        <v>15625</v>
      </c>
      <c r="H18" s="21"/>
      <c r="I18" s="82">
        <f>F18*(1+Assumptions!$C$30)</f>
        <v>16406.25</v>
      </c>
      <c r="J18" s="83">
        <f t="shared" si="1"/>
        <v>0</v>
      </c>
      <c r="K18" s="21"/>
      <c r="L18" s="82">
        <f>I18*(1+Assumptions!$C$30)</f>
        <v>17226.5625</v>
      </c>
      <c r="M18" s="83">
        <f t="shared" si="2"/>
        <v>0</v>
      </c>
      <c r="N18" s="21"/>
      <c r="O18" s="82">
        <f>L18*(1+Assumptions!$C$30)</f>
        <v>18087.890625</v>
      </c>
      <c r="P18" s="83">
        <f t="shared" si="3"/>
        <v>0</v>
      </c>
      <c r="Q18" s="21"/>
      <c r="R18" s="82">
        <f>O18*(1+Assumptions!$C$30)</f>
        <v>18992.28515625</v>
      </c>
      <c r="S18" s="83">
        <f t="shared" si="4"/>
        <v>0</v>
      </c>
      <c r="T18" s="21"/>
      <c r="U18" s="82">
        <f>R18*(1+Assumptions!$C$30)</f>
        <v>19941.8994140625</v>
      </c>
      <c r="V18" s="83">
        <f t="shared" si="5"/>
        <v>0</v>
      </c>
    </row>
    <row r="19" spans="1:22" ht="15" x14ac:dyDescent="0.15">
      <c r="A19" s="17"/>
      <c r="B19" s="24" t="s">
        <v>17</v>
      </c>
      <c r="C19" s="118"/>
      <c r="D19" s="25"/>
      <c r="E19" s="26">
        <v>1</v>
      </c>
      <c r="F19" s="84">
        <f>Assumptions!C40</f>
        <v>1500</v>
      </c>
      <c r="G19" s="85">
        <f t="shared" si="0"/>
        <v>1500</v>
      </c>
      <c r="H19" s="25"/>
      <c r="I19" s="84">
        <f>F19*(1+Assumptions!$C$30)</f>
        <v>1575</v>
      </c>
      <c r="J19" s="85">
        <f t="shared" si="1"/>
        <v>0</v>
      </c>
      <c r="K19" s="25"/>
      <c r="L19" s="84">
        <f>I19*(1+Assumptions!$C$30)</f>
        <v>1653.75</v>
      </c>
      <c r="M19" s="85">
        <f t="shared" si="2"/>
        <v>0</v>
      </c>
      <c r="N19" s="25"/>
      <c r="O19" s="84">
        <f>L19*(1+Assumptions!$C$30)</f>
        <v>1736.4375</v>
      </c>
      <c r="P19" s="85">
        <f t="shared" si="3"/>
        <v>0</v>
      </c>
      <c r="Q19" s="25"/>
      <c r="R19" s="84">
        <f>O19*(1+Assumptions!$C$30)</f>
        <v>1823.2593750000001</v>
      </c>
      <c r="S19" s="85">
        <f t="shared" si="4"/>
        <v>0</v>
      </c>
      <c r="T19" s="25"/>
      <c r="U19" s="84">
        <f>R19*(1+Assumptions!$C$30)</f>
        <v>1914.4223437500002</v>
      </c>
      <c r="V19" s="85">
        <f t="shared" si="5"/>
        <v>0</v>
      </c>
    </row>
    <row r="20" spans="1:22" ht="15" x14ac:dyDescent="0.15">
      <c r="A20" s="17"/>
      <c r="B20" s="20" t="s">
        <v>94</v>
      </c>
      <c r="C20" s="117">
        <v>90</v>
      </c>
      <c r="D20" s="21" t="s">
        <v>90</v>
      </c>
      <c r="E20" s="22">
        <f>ROUNDUP(IF($C$5&lt;C$20,1,$C$5/C$20),0)</f>
        <v>1</v>
      </c>
      <c r="F20" s="82">
        <f>Assumptions!C41</f>
        <v>1200</v>
      </c>
      <c r="G20" s="83">
        <f t="shared" si="0"/>
        <v>1200</v>
      </c>
      <c r="H20" s="21">
        <v>0</v>
      </c>
      <c r="I20" s="82">
        <f>F20*(1+Assumptions!$C$30)</f>
        <v>1260</v>
      </c>
      <c r="J20" s="83">
        <f t="shared" si="1"/>
        <v>0</v>
      </c>
      <c r="K20" s="21">
        <v>1</v>
      </c>
      <c r="L20" s="82">
        <f>I20*(1+Assumptions!$C$30)</f>
        <v>1323</v>
      </c>
      <c r="M20" s="83">
        <f t="shared" si="2"/>
        <v>1323</v>
      </c>
      <c r="N20" s="21">
        <v>0</v>
      </c>
      <c r="O20" s="82">
        <f>L20*(1+Assumptions!$C$30)</f>
        <v>1389.15</v>
      </c>
      <c r="P20" s="83">
        <f t="shared" si="3"/>
        <v>0</v>
      </c>
      <c r="Q20" s="21">
        <v>1</v>
      </c>
      <c r="R20" s="82">
        <f>O20*(1+Assumptions!$C$30)</f>
        <v>1458.6075000000001</v>
      </c>
      <c r="S20" s="83">
        <f t="shared" si="4"/>
        <v>1458.6075000000001</v>
      </c>
      <c r="T20" s="21">
        <v>0</v>
      </c>
      <c r="U20" s="82">
        <f>R20*(1+Assumptions!$C$30)</f>
        <v>1531.5378750000002</v>
      </c>
      <c r="V20" s="83">
        <f t="shared" si="5"/>
        <v>0</v>
      </c>
    </row>
    <row r="21" spans="1:22" ht="15" x14ac:dyDescent="0.15">
      <c r="A21" s="17"/>
      <c r="B21" s="20" t="s">
        <v>18</v>
      </c>
      <c r="C21" s="117"/>
      <c r="D21" s="21"/>
      <c r="E21" s="22">
        <v>1</v>
      </c>
      <c r="F21" s="82">
        <f>Assumptions!C42</f>
        <v>1000</v>
      </c>
      <c r="G21" s="83">
        <f t="shared" si="0"/>
        <v>1000</v>
      </c>
      <c r="H21" s="21">
        <v>1</v>
      </c>
      <c r="I21" s="82">
        <f>F21*(1+Assumptions!$C$30)</f>
        <v>1050</v>
      </c>
      <c r="J21" s="83">
        <f t="shared" si="1"/>
        <v>1050</v>
      </c>
      <c r="K21" s="21">
        <v>1</v>
      </c>
      <c r="L21" s="82">
        <f>I21*(1+Assumptions!$C$30)</f>
        <v>1102.5</v>
      </c>
      <c r="M21" s="83">
        <f t="shared" si="2"/>
        <v>1102.5</v>
      </c>
      <c r="N21" s="21">
        <v>1</v>
      </c>
      <c r="O21" s="82">
        <f>L21*(1+Assumptions!$C$30)</f>
        <v>1157.625</v>
      </c>
      <c r="P21" s="83">
        <f t="shared" si="3"/>
        <v>1157.625</v>
      </c>
      <c r="Q21" s="21">
        <v>1</v>
      </c>
      <c r="R21" s="82">
        <f>O21*(1+Assumptions!$C$30)</f>
        <v>1215.5062500000001</v>
      </c>
      <c r="S21" s="83">
        <f t="shared" si="4"/>
        <v>1215.5062500000001</v>
      </c>
      <c r="T21" s="21">
        <v>1</v>
      </c>
      <c r="U21" s="82">
        <f>R21*(1+Assumptions!$C$30)</f>
        <v>1276.2815625000003</v>
      </c>
      <c r="V21" s="83">
        <f t="shared" si="5"/>
        <v>1276.2815625000003</v>
      </c>
    </row>
    <row r="22" spans="1:22" ht="15" x14ac:dyDescent="0.15">
      <c r="A22" s="17"/>
      <c r="B22" s="24" t="s">
        <v>16</v>
      </c>
      <c r="C22" s="118"/>
      <c r="D22" s="25"/>
      <c r="E22" s="26">
        <v>1</v>
      </c>
      <c r="F22" s="84">
        <f>Assumptions!C43</f>
        <v>2900</v>
      </c>
      <c r="G22" s="85">
        <f t="shared" si="0"/>
        <v>2900</v>
      </c>
      <c r="H22" s="25"/>
      <c r="I22" s="84"/>
      <c r="J22" s="85"/>
      <c r="K22" s="25"/>
      <c r="L22" s="84"/>
      <c r="M22" s="85"/>
      <c r="N22" s="25"/>
      <c r="O22" s="84"/>
      <c r="P22" s="85"/>
      <c r="Q22" s="25"/>
      <c r="R22" s="84"/>
      <c r="S22" s="85"/>
      <c r="T22" s="25"/>
      <c r="U22" s="84"/>
      <c r="V22" s="85"/>
    </row>
    <row r="23" spans="1:22" ht="15" x14ac:dyDescent="0.15">
      <c r="A23" s="17"/>
      <c r="B23" s="20" t="s">
        <v>98</v>
      </c>
      <c r="C23" s="117"/>
      <c r="D23" s="21"/>
      <c r="E23" s="22">
        <v>1</v>
      </c>
      <c r="F23" s="82">
        <f>Assumptions!C44</f>
        <v>2000</v>
      </c>
      <c r="G23" s="83">
        <f t="shared" si="0"/>
        <v>2000</v>
      </c>
      <c r="H23" s="21"/>
      <c r="I23" s="82"/>
      <c r="J23" s="83"/>
      <c r="K23" s="21"/>
      <c r="L23" s="82"/>
      <c r="M23" s="83"/>
      <c r="N23" s="21"/>
      <c r="O23" s="82"/>
      <c r="P23" s="83"/>
      <c r="Q23" s="21"/>
      <c r="R23" s="82"/>
      <c r="S23" s="83"/>
      <c r="T23" s="21"/>
      <c r="U23" s="82"/>
      <c r="V23" s="83"/>
    </row>
    <row r="24" spans="1:22" ht="15" x14ac:dyDescent="0.15">
      <c r="A24" s="17"/>
      <c r="B24" s="24" t="s">
        <v>19</v>
      </c>
      <c r="C24" s="118"/>
      <c r="D24" s="25"/>
      <c r="E24" s="26">
        <v>1</v>
      </c>
      <c r="F24" s="84">
        <f>Assumptions!C45</f>
        <v>2500</v>
      </c>
      <c r="G24" s="85">
        <f t="shared" si="0"/>
        <v>2500</v>
      </c>
      <c r="H24" s="25"/>
      <c r="I24" s="84"/>
      <c r="J24" s="85"/>
      <c r="K24" s="25"/>
      <c r="L24" s="84"/>
      <c r="M24" s="85"/>
      <c r="N24" s="25"/>
      <c r="O24" s="84"/>
      <c r="P24" s="85"/>
      <c r="Q24" s="25"/>
      <c r="R24" s="84"/>
      <c r="S24" s="85"/>
      <c r="T24" s="25"/>
      <c r="U24" s="84"/>
      <c r="V24" s="85"/>
    </row>
    <row r="25" spans="1:22" ht="15" x14ac:dyDescent="0.15">
      <c r="A25" s="17"/>
      <c r="B25" s="20" t="s">
        <v>42</v>
      </c>
      <c r="C25" s="117"/>
      <c r="D25" s="25" t="s">
        <v>153</v>
      </c>
      <c r="E25" s="22">
        <v>1</v>
      </c>
      <c r="F25" s="82">
        <v>4000</v>
      </c>
      <c r="G25" s="85">
        <f t="shared" si="0"/>
        <v>4000</v>
      </c>
      <c r="H25" s="21"/>
      <c r="I25" s="82"/>
      <c r="J25" s="83">
        <f>IF(AND(SUM(J13:J24)*0.02&gt;0,SUM(J13:J24)*0.02&lt;1000),1000,0.02*SUM(J13:J24))</f>
        <v>1000</v>
      </c>
      <c r="K25" s="21"/>
      <c r="L25" s="82"/>
      <c r="M25" s="83">
        <f>IF(AND(SUM(M13:M24)*0.02&gt;0,SUM(M13:M24)*0.02&lt;1000),1000,0.02*SUM(M13:M24))</f>
        <v>1000</v>
      </c>
      <c r="N25" s="21"/>
      <c r="O25" s="82"/>
      <c r="P25" s="83">
        <f>IF(AND(SUM(P13:P24)*0.02&gt;0,SUM(P13:P24)*0.02&lt;1000),1000,0.02*SUM(P13:P24))</f>
        <v>1000</v>
      </c>
      <c r="Q25" s="21"/>
      <c r="R25" s="82"/>
      <c r="S25" s="83">
        <f>IF(AND(SUM(S13:S24)*0.02&gt;0,SUM(S13:S24)*0.02&lt;1000),1000,0.02*SUM(S13:S24))</f>
        <v>1000</v>
      </c>
      <c r="T25" s="21"/>
      <c r="U25" s="82"/>
      <c r="V25" s="83">
        <f>IF(AND(SUM(V13:V24)*0.02&gt;0,SUM(V13:V24)*0.02&lt;1000),1000,0.02*SUM(V13:V24))</f>
        <v>1000</v>
      </c>
    </row>
    <row r="26" spans="1:22" ht="15" x14ac:dyDescent="0.15">
      <c r="A26" s="17"/>
      <c r="B26" s="24" t="s">
        <v>41</v>
      </c>
      <c r="C26" s="118"/>
      <c r="D26" s="25" t="s">
        <v>80</v>
      </c>
      <c r="E26" s="26"/>
      <c r="F26" s="84"/>
      <c r="G26" s="85">
        <f>IF(AND(SUM(G13:G25)*0.02&gt;0,SUM(G13:G25)*0.02&lt;1000),1000,0.02*SUM(G13:G25))</f>
        <v>1000</v>
      </c>
      <c r="H26" s="25"/>
      <c r="I26" s="84"/>
      <c r="J26" s="85">
        <f>IF(AND(SUM(J13:J25)*0.02&gt;0,SUM(J13:J25)*0.02&lt;1000),1000,0.02*SUM(J13:J25))</f>
        <v>1000</v>
      </c>
      <c r="K26" s="25"/>
      <c r="L26" s="84"/>
      <c r="M26" s="85">
        <f>IF(AND(SUM(M13:M25)*0.02&gt;0,SUM(M13:M25)*0.02&lt;1000),1000,0.02*SUM(M13:M25))</f>
        <v>1000</v>
      </c>
      <c r="N26" s="25"/>
      <c r="O26" s="84"/>
      <c r="P26" s="85">
        <f>IF(AND(SUM(P13:P25)*0.02&gt;0,SUM(P13:P25)*0.02&lt;1000),1000,0.02*SUM(P13:P25))</f>
        <v>1000</v>
      </c>
      <c r="Q26" s="25"/>
      <c r="R26" s="84"/>
      <c r="S26" s="85">
        <f>IF(AND(SUM(S13:S25)*0.02&gt;0,SUM(S13:S25)*0.02&lt;1000),1000,0.02*SUM(S13:S25))</f>
        <v>1000</v>
      </c>
      <c r="T26" s="25"/>
      <c r="U26" s="84"/>
      <c r="V26" s="85">
        <f>IF(AND(SUM(V13:V25)*0.02&gt;0,SUM(V13:V25)*0.02&lt;1000),1000,0.02*SUM(V13:V25))</f>
        <v>1000</v>
      </c>
    </row>
    <row r="27" spans="1:22" ht="16" thickBot="1" x14ac:dyDescent="0.2">
      <c r="A27" s="17"/>
      <c r="B27" s="20" t="s">
        <v>12</v>
      </c>
      <c r="C27" s="21"/>
      <c r="D27" s="112" t="s">
        <v>81</v>
      </c>
      <c r="E27" s="226"/>
      <c r="F27" s="227"/>
      <c r="G27" s="170">
        <f>IF(AND(SUM(G13:G26)*0.01&gt;0,SUM(G13:G26)*0.01&lt;1000),1000,0.01*SUM(G13:G26))</f>
        <v>1000</v>
      </c>
      <c r="H27" s="21"/>
      <c r="I27" s="227"/>
      <c r="J27" s="170">
        <f>IF(AND(SUM(J13:J26)*0.01&gt;0,SUM(J13:J26)*0.01&lt;1000),1000,0.01*SUM(J13:J26))</f>
        <v>1000</v>
      </c>
      <c r="K27" s="21"/>
      <c r="L27" s="227"/>
      <c r="M27" s="170">
        <f>IF(AND(SUM(M13:M26)*0.01&gt;0,SUM(M13:M26)*0.01&lt;1000),1000,0.01*SUM(M13:M26))</f>
        <v>1000</v>
      </c>
      <c r="N27" s="21"/>
      <c r="O27" s="227"/>
      <c r="P27" s="170">
        <f>IF(AND(SUM(P13:P26)*0.01&gt;0,SUM(P13:P26)*0.01&lt;1000),1000,0.01*SUM(P13:P26))</f>
        <v>1000</v>
      </c>
      <c r="Q27" s="21"/>
      <c r="R27" s="227"/>
      <c r="S27" s="170">
        <f>IF(AND(SUM(S13:S26)*0.01&gt;0,SUM(S13:S26)*0.01&lt;1000),1000,0.01*SUM(S13:S26))</f>
        <v>1000</v>
      </c>
      <c r="T27" s="21"/>
      <c r="U27" s="227"/>
      <c r="V27" s="170">
        <f>IF(AND(SUM(V13:V26)*0.01&gt;0,SUM(V13:V26)*0.01&lt;1000),1000,0.01*SUM(V13:V26))</f>
        <v>1000</v>
      </c>
    </row>
    <row r="28" spans="1:22" s="33" customFormat="1" ht="16" thickBot="1" x14ac:dyDescent="0.2">
      <c r="B28" s="28" t="s">
        <v>67</v>
      </c>
      <c r="C28" s="29"/>
      <c r="D28" s="29"/>
      <c r="E28" s="30"/>
      <c r="F28" s="86"/>
      <c r="G28" s="87">
        <f>SUM(G13:G27)</f>
        <v>44275</v>
      </c>
      <c r="H28" s="32"/>
      <c r="I28" s="86"/>
      <c r="J28" s="87">
        <f>SUM(J13:J27)</f>
        <v>4050</v>
      </c>
      <c r="K28" s="32"/>
      <c r="L28" s="86"/>
      <c r="M28" s="87">
        <f>SUM(M13:M27)</f>
        <v>9615</v>
      </c>
      <c r="N28" s="32"/>
      <c r="O28" s="86"/>
      <c r="P28" s="87">
        <f>SUM(P13:P27)</f>
        <v>7051.6875</v>
      </c>
      <c r="Q28" s="32"/>
      <c r="R28" s="86"/>
      <c r="S28" s="87">
        <f>SUM(S13:S27)</f>
        <v>5674.1137500000004</v>
      </c>
      <c r="T28" s="32"/>
      <c r="U28" s="86"/>
      <c r="V28" s="87">
        <f>SUM(V13:V27)</f>
        <v>4276.2815625000003</v>
      </c>
    </row>
    <row r="29" spans="1:22" ht="15" thickBot="1" x14ac:dyDescent="0.2"/>
    <row r="30" spans="1:22" s="96" customFormat="1" ht="46" thickBot="1" x14ac:dyDescent="0.2">
      <c r="B30" s="93" t="s">
        <v>144</v>
      </c>
      <c r="C30" s="94"/>
      <c r="D30" s="95"/>
      <c r="E30" s="138"/>
      <c r="F30" s="139"/>
      <c r="G30" s="95"/>
      <c r="H30" s="92" t="s">
        <v>71</v>
      </c>
      <c r="I30" s="88" t="s">
        <v>77</v>
      </c>
      <c r="J30" s="89" t="s">
        <v>79</v>
      </c>
      <c r="K30" s="92" t="s">
        <v>71</v>
      </c>
      <c r="L30" s="88" t="s">
        <v>77</v>
      </c>
      <c r="M30" s="89" t="s">
        <v>79</v>
      </c>
      <c r="N30" s="92" t="s">
        <v>71</v>
      </c>
      <c r="O30" s="88" t="s">
        <v>77</v>
      </c>
      <c r="P30" s="89" t="s">
        <v>79</v>
      </c>
      <c r="Q30" s="92" t="s">
        <v>71</v>
      </c>
      <c r="R30" s="88" t="s">
        <v>77</v>
      </c>
      <c r="S30" s="89" t="s">
        <v>79</v>
      </c>
      <c r="T30" s="92" t="s">
        <v>71</v>
      </c>
      <c r="U30" s="88" t="s">
        <v>77</v>
      </c>
      <c r="V30" s="89" t="s">
        <v>79</v>
      </c>
    </row>
    <row r="31" spans="1:22" ht="15" x14ac:dyDescent="0.15">
      <c r="B31" s="35" t="s">
        <v>107</v>
      </c>
      <c r="C31" s="23" t="s">
        <v>38</v>
      </c>
      <c r="D31" s="36"/>
      <c r="G31" s="36"/>
      <c r="H31" s="37">
        <f>C5*C6</f>
        <v>30.825000000000003</v>
      </c>
      <c r="I31" s="229">
        <f>Assumptions!C8*1000</f>
        <v>50</v>
      </c>
      <c r="J31" s="228">
        <f>H31*I31*6/Assumptions!C29</f>
        <v>9247.5000000000018</v>
      </c>
      <c r="K31" s="37">
        <f>H31*(1+Assumptions!$C$31)</f>
        <v>33.907500000000006</v>
      </c>
      <c r="L31" s="38">
        <f>I31*(1+Assumptions!$C$30)</f>
        <v>52.5</v>
      </c>
      <c r="M31" s="91">
        <f>K31*L31*12/Assumptions!$C$29</f>
        <v>21361.725000000006</v>
      </c>
      <c r="N31" s="37">
        <f>K31*(1+Assumptions!$C$31)</f>
        <v>37.29825000000001</v>
      </c>
      <c r="O31" s="38">
        <f>L31*(1+Assumptions!$C$30)</f>
        <v>55.125</v>
      </c>
      <c r="P31" s="91">
        <f>N31*O31*12/Assumptions!$C$29</f>
        <v>24672.792375000005</v>
      </c>
      <c r="Q31" s="39">
        <f>N31*(1+Assumptions!$C$31)</f>
        <v>41.028075000000015</v>
      </c>
      <c r="R31" s="38">
        <f>O31*(1+Assumptions!$C$30)</f>
        <v>57.881250000000001</v>
      </c>
      <c r="S31" s="91">
        <f>Q31*R31*12/Assumptions!$C$29</f>
        <v>28497.075193125012</v>
      </c>
      <c r="T31" s="37">
        <f>Q31*(1+Assumptions!$C$31)</f>
        <v>45.13088250000002</v>
      </c>
      <c r="U31" s="38">
        <f>R31*(1+Assumptions!$C$30)</f>
        <v>60.775312500000005</v>
      </c>
      <c r="V31" s="91">
        <f>T31*U31*12/Assumptions!$C$29</f>
        <v>32914.121848059389</v>
      </c>
    </row>
    <row r="32" spans="1:22" ht="15" x14ac:dyDescent="0.15">
      <c r="B32" s="40" t="s">
        <v>108</v>
      </c>
      <c r="C32" s="27" t="s">
        <v>38</v>
      </c>
      <c r="D32" s="36"/>
      <c r="G32" s="36"/>
      <c r="H32" s="41">
        <f>C5*C7</f>
        <v>10.275</v>
      </c>
      <c r="I32" s="230">
        <f>Assumptions!C9*1000</f>
        <v>100</v>
      </c>
      <c r="J32" s="85">
        <f>H32*I32*6/Assumptions!C29</f>
        <v>6165</v>
      </c>
      <c r="K32" s="41">
        <f>H32*(1+Assumptions!$C$31)</f>
        <v>11.302500000000002</v>
      </c>
      <c r="L32" s="42">
        <f>I32*(1+Assumptions!$C$30)</f>
        <v>105</v>
      </c>
      <c r="M32" s="85">
        <f>K32*L32*12/Assumptions!$C$29</f>
        <v>14241.150000000003</v>
      </c>
      <c r="N32" s="41">
        <f>K32*(1+Assumptions!$C$31)</f>
        <v>12.432750000000004</v>
      </c>
      <c r="O32" s="42">
        <f>L32*(1+Assumptions!$C$30)</f>
        <v>110.25</v>
      </c>
      <c r="P32" s="85">
        <f>N32*O32*12/Assumptions!$C$29</f>
        <v>16448.528250000003</v>
      </c>
      <c r="Q32" s="27">
        <f>N32*(1+Assumptions!$C$31)</f>
        <v>13.676025000000006</v>
      </c>
      <c r="R32" s="42">
        <f>O32*(1+Assumptions!$C$30)</f>
        <v>115.7625</v>
      </c>
      <c r="S32" s="85">
        <f>Q32*R32*12/Assumptions!$C$29</f>
        <v>18998.050128750008</v>
      </c>
      <c r="T32" s="41">
        <f>Q32*(1+Assumptions!$C$31)</f>
        <v>15.043627500000008</v>
      </c>
      <c r="U32" s="42">
        <f>R32*(1+Assumptions!$C$30)</f>
        <v>121.55062500000001</v>
      </c>
      <c r="V32" s="85">
        <f>T32*U32*12/Assumptions!$C$29</f>
        <v>21942.747898706264</v>
      </c>
    </row>
    <row r="33" spans="1:22" s="47" customFormat="1" ht="15" x14ac:dyDescent="0.15">
      <c r="B33" s="40" t="s">
        <v>142</v>
      </c>
      <c r="C33" s="27" t="s">
        <v>31</v>
      </c>
      <c r="D33" s="36"/>
      <c r="G33" s="36"/>
      <c r="H33" s="45">
        <v>120</v>
      </c>
      <c r="I33" s="231">
        <f>Assumptions!C21</f>
        <v>1.8</v>
      </c>
      <c r="J33" s="85">
        <f>H33*I33*6/Assumptions!C29</f>
        <v>1296</v>
      </c>
      <c r="K33" s="45">
        <f>H33*(1+Assumptions!$C$31)</f>
        <v>132</v>
      </c>
      <c r="L33" s="42">
        <f>I33*(1+Assumptions!$C$30)</f>
        <v>1.8900000000000001</v>
      </c>
      <c r="M33" s="85">
        <f>K33*L33*12/Assumptions!$C$29</f>
        <v>2993.76</v>
      </c>
      <c r="N33" s="45">
        <f>K33*(1+Assumptions!$C$31)</f>
        <v>145.20000000000002</v>
      </c>
      <c r="O33" s="42">
        <f>L33*(1+Assumptions!$C$30)</f>
        <v>1.9845000000000002</v>
      </c>
      <c r="P33" s="85">
        <f>N33*O33*12/Assumptions!$C$29</f>
        <v>3457.7928000000011</v>
      </c>
      <c r="Q33" s="46">
        <f>N33*(1+Assumptions!$C$31)</f>
        <v>159.72000000000003</v>
      </c>
      <c r="R33" s="42">
        <f>O33*(1+Assumptions!$C$30)</f>
        <v>2.0837250000000003</v>
      </c>
      <c r="S33" s="85">
        <f>Q33*R33*12/Assumptions!$C$29</f>
        <v>3993.750684000001</v>
      </c>
      <c r="T33" s="45">
        <f>Q33*(1+Assumptions!$C$31)</f>
        <v>175.69200000000004</v>
      </c>
      <c r="U33" s="42">
        <f>R33*(1+Assumptions!$C$30)</f>
        <v>2.1879112500000004</v>
      </c>
      <c r="V33" s="85">
        <f>T33*U33*12/Assumptions!$C$29</f>
        <v>4612.7820400200017</v>
      </c>
    </row>
    <row r="34" spans="1:22" s="47" customFormat="1" ht="15" x14ac:dyDescent="0.15">
      <c r="B34" s="40" t="s">
        <v>43</v>
      </c>
      <c r="C34" s="27" t="s">
        <v>38</v>
      </c>
      <c r="D34" s="36"/>
      <c r="G34" s="36"/>
      <c r="H34" s="45">
        <f>H49/4</f>
        <v>7.5</v>
      </c>
      <c r="I34" s="231">
        <f>Assumptions!C10</f>
        <v>10</v>
      </c>
      <c r="J34" s="85">
        <f>H34*I34*6/Assumptions!C29</f>
        <v>450</v>
      </c>
      <c r="K34" s="45">
        <f>K49/4</f>
        <v>8.25</v>
      </c>
      <c r="L34" s="42">
        <f>I34*(1+Assumptions!$C$30)</f>
        <v>10.5</v>
      </c>
      <c r="M34" s="85">
        <f>K34*L34*12/Assumptions!$C$29</f>
        <v>1039.5</v>
      </c>
      <c r="N34" s="45">
        <f>N49/4</f>
        <v>9.0750000000000011</v>
      </c>
      <c r="O34" s="42">
        <f>L34*(1+Assumptions!$C$30)</f>
        <v>11.025</v>
      </c>
      <c r="P34" s="85">
        <f>N34*O34*12/Assumptions!$C$29</f>
        <v>1200.6225000000002</v>
      </c>
      <c r="Q34" s="46">
        <f>Q49/4</f>
        <v>9.9825000000000017</v>
      </c>
      <c r="R34" s="42">
        <f>O34*(1+Assumptions!$C$30)</f>
        <v>11.576250000000002</v>
      </c>
      <c r="S34" s="85">
        <f>Q34*R34*12/Assumptions!$C$29</f>
        <v>1386.7189875000004</v>
      </c>
      <c r="T34" s="45">
        <f>T49/4</f>
        <v>10.980750000000002</v>
      </c>
      <c r="U34" s="42">
        <f>R34*(1+Assumptions!$C$30)</f>
        <v>12.155062500000001</v>
      </c>
      <c r="V34" s="85">
        <f>T34*U34*12/Assumptions!$C$29</f>
        <v>1601.6604305625006</v>
      </c>
    </row>
    <row r="35" spans="1:22" s="47" customFormat="1" ht="15" x14ac:dyDescent="0.15">
      <c r="B35" s="40" t="s">
        <v>37</v>
      </c>
      <c r="C35" s="27" t="s">
        <v>38</v>
      </c>
      <c r="D35" s="36"/>
      <c r="G35" s="36"/>
      <c r="H35" s="45">
        <f>H49/10</f>
        <v>3</v>
      </c>
      <c r="I35" s="231">
        <f>Assumptions!C15</f>
        <v>50</v>
      </c>
      <c r="J35" s="85">
        <f>H35*I35*6/Assumptions!C29</f>
        <v>900</v>
      </c>
      <c r="K35" s="45">
        <f>K49/10</f>
        <v>3.3</v>
      </c>
      <c r="L35" s="42">
        <f>I35*(1+Assumptions!$C$30)</f>
        <v>52.5</v>
      </c>
      <c r="M35" s="85">
        <f>K35*L35*12/Assumptions!$C$29</f>
        <v>2079</v>
      </c>
      <c r="N35" s="45">
        <f>N49/10</f>
        <v>3.6300000000000003</v>
      </c>
      <c r="O35" s="42">
        <f>L35*(1+Assumptions!$C$30)</f>
        <v>55.125</v>
      </c>
      <c r="P35" s="85">
        <f>N35*O35*12/Assumptions!$C$29</f>
        <v>2401.2450000000003</v>
      </c>
      <c r="Q35" s="46">
        <f>Q49/10</f>
        <v>3.9930000000000008</v>
      </c>
      <c r="R35" s="42">
        <f>O35*(1+Assumptions!$C$30)</f>
        <v>57.881250000000001</v>
      </c>
      <c r="S35" s="85">
        <f>Q35*R35*12/Assumptions!$C$29</f>
        <v>2773.4379750000007</v>
      </c>
      <c r="T35" s="45">
        <f>T49/10</f>
        <v>4.3923000000000005</v>
      </c>
      <c r="U35" s="42">
        <f>R35*(1+Assumptions!$C$30)</f>
        <v>60.775312500000005</v>
      </c>
      <c r="V35" s="85">
        <f>T35*U35*12/Assumptions!$C$29</f>
        <v>3203.3208611250011</v>
      </c>
    </row>
    <row r="36" spans="1:22" ht="15" x14ac:dyDescent="0.15">
      <c r="B36" s="35" t="s">
        <v>34</v>
      </c>
      <c r="C36" s="23" t="s">
        <v>36</v>
      </c>
      <c r="D36" s="36"/>
      <c r="G36" s="36"/>
      <c r="H36" s="43">
        <f>ROUNDUP(IF(C5&lt;Assumptions!C11,1,(C5/Assumptions!C11)),0)</f>
        <v>2</v>
      </c>
      <c r="I36" s="232">
        <f>Assumptions!C13</f>
        <v>220</v>
      </c>
      <c r="J36" s="83">
        <f>H36*I36*6/Assumptions!C29</f>
        <v>2640</v>
      </c>
      <c r="K36" s="43">
        <f>ROUNDUP(H36*(1+Assumptions!$C$31),0)</f>
        <v>3</v>
      </c>
      <c r="L36" s="44">
        <f>I36*(1+Assumptions!$C$30)</f>
        <v>231</v>
      </c>
      <c r="M36" s="83">
        <f>K36*L36*12/Assumptions!$C$29</f>
        <v>8316</v>
      </c>
      <c r="N36" s="43">
        <f>ROUNDUP(K36*(1+Assumptions!$C$31),0)</f>
        <v>4</v>
      </c>
      <c r="O36" s="44">
        <f>L36*(1+Assumptions!$C$30)</f>
        <v>242.55</v>
      </c>
      <c r="P36" s="83">
        <f>N36*O36*12/Assumptions!$C$29</f>
        <v>11642.400000000001</v>
      </c>
      <c r="Q36" s="43">
        <f>ROUNDUP(N36*(1+Assumptions!$C$31),0)</f>
        <v>5</v>
      </c>
      <c r="R36" s="44">
        <f>O36*(1+Assumptions!$C$30)</f>
        <v>254.67750000000001</v>
      </c>
      <c r="S36" s="83">
        <f>Q36*R36*12/Assumptions!$C$29</f>
        <v>15280.650000000001</v>
      </c>
      <c r="T36" s="43">
        <f>ROUNDUP(Q36*(1+Assumptions!$C$31),0)</f>
        <v>6</v>
      </c>
      <c r="U36" s="44">
        <f>R36*(1+Assumptions!$C$30)</f>
        <v>267.41137500000002</v>
      </c>
      <c r="V36" s="83">
        <f>T36*U36*12/Assumptions!$C$29</f>
        <v>19253.619000000002</v>
      </c>
    </row>
    <row r="37" spans="1:22" s="47" customFormat="1" ht="15" x14ac:dyDescent="0.15">
      <c r="B37" s="40" t="s">
        <v>35</v>
      </c>
      <c r="C37" s="27" t="s">
        <v>36</v>
      </c>
      <c r="D37" s="36"/>
      <c r="G37" s="36"/>
      <c r="H37" s="45">
        <f>ROUNDUP(IF(C5&lt;Assumptions!C12,1,(C5/Assumptions!C12)),0)</f>
        <v>2</v>
      </c>
      <c r="I37" s="231">
        <f>Assumptions!C14</f>
        <v>120</v>
      </c>
      <c r="J37" s="85">
        <f>H37*I37*6/Assumptions!C29</f>
        <v>1440</v>
      </c>
      <c r="K37" s="45">
        <f>ROUNDUP(H37*(1+Assumptions!$C$31),0)</f>
        <v>3</v>
      </c>
      <c r="L37" s="42">
        <f>I37*(1+Assumptions!$C$30)</f>
        <v>126</v>
      </c>
      <c r="M37" s="85">
        <f>K37*L37*12/Assumptions!$C$29</f>
        <v>4536</v>
      </c>
      <c r="N37" s="45">
        <f>ROUNDUP(K37*(1+Assumptions!$C$31),0)</f>
        <v>4</v>
      </c>
      <c r="O37" s="42">
        <f>L37*(1+Assumptions!$C$30)</f>
        <v>132.30000000000001</v>
      </c>
      <c r="P37" s="85">
        <f>N37*O37*12/Assumptions!$C$29</f>
        <v>6350.4000000000005</v>
      </c>
      <c r="Q37" s="45">
        <f>ROUNDUP(N37*(1+Assumptions!$C$31),0)</f>
        <v>5</v>
      </c>
      <c r="R37" s="42">
        <f>O37*(1+Assumptions!$C$30)</f>
        <v>138.91500000000002</v>
      </c>
      <c r="S37" s="85">
        <f>Q37*R37*12/Assumptions!$C$29</f>
        <v>8334.9000000000015</v>
      </c>
      <c r="T37" s="45">
        <f>ROUNDUP(Q37*(1+Assumptions!$C$31),0)</f>
        <v>6</v>
      </c>
      <c r="U37" s="42">
        <f>R37*(1+Assumptions!$C$30)</f>
        <v>145.86075000000002</v>
      </c>
      <c r="V37" s="85">
        <f>T37*U37*12/Assumptions!$C$29</f>
        <v>10501.974000000002</v>
      </c>
    </row>
    <row r="38" spans="1:22" s="47" customFormat="1" ht="15" x14ac:dyDescent="0.15">
      <c r="B38" s="40" t="s">
        <v>13</v>
      </c>
      <c r="C38" s="27" t="s">
        <v>39</v>
      </c>
      <c r="D38" s="36"/>
      <c r="G38" s="36"/>
      <c r="H38" s="45">
        <f>H36+H37</f>
        <v>4</v>
      </c>
      <c r="I38" s="231">
        <f>Assumptions!C27</f>
        <v>80</v>
      </c>
      <c r="J38" s="85">
        <f>H38*I38*6/Assumptions!C29</f>
        <v>1920</v>
      </c>
      <c r="K38" s="45">
        <f>H38*(1+Assumptions!$C$31)</f>
        <v>4.4000000000000004</v>
      </c>
      <c r="L38" s="42">
        <f>I38*(1+Assumptions!$C$30)</f>
        <v>84</v>
      </c>
      <c r="M38" s="85">
        <f>K38*L38*12/Assumptions!$C$29</f>
        <v>4435.2000000000007</v>
      </c>
      <c r="N38" s="45">
        <f>K38*(1+Assumptions!$C$31)</f>
        <v>4.8400000000000007</v>
      </c>
      <c r="O38" s="42">
        <f>L38*(1+Assumptions!$C$30)</f>
        <v>88.2</v>
      </c>
      <c r="P38" s="85">
        <f>N38*O38*12/Assumptions!$C$29</f>
        <v>5122.6560000000009</v>
      </c>
      <c r="Q38" s="46">
        <f>N38*(1+Assumptions!$C$31)</f>
        <v>5.3240000000000016</v>
      </c>
      <c r="R38" s="42">
        <f>O38*(1+Assumptions!$C$30)</f>
        <v>92.610000000000014</v>
      </c>
      <c r="S38" s="85">
        <f>Q38*R38*12/Assumptions!$C$29</f>
        <v>5916.6676800000023</v>
      </c>
      <c r="T38" s="45">
        <f>Q38*(1+Assumptions!$C$31)</f>
        <v>5.8564000000000025</v>
      </c>
      <c r="U38" s="42">
        <f>R38*(1+Assumptions!$C$30)</f>
        <v>97.240500000000011</v>
      </c>
      <c r="V38" s="85">
        <f>T38*U38*12/Assumptions!$C$29</f>
        <v>6833.7511704000044</v>
      </c>
    </row>
    <row r="39" spans="1:22" s="47" customFormat="1" ht="15" x14ac:dyDescent="0.15">
      <c r="B39" s="24" t="s">
        <v>0</v>
      </c>
      <c r="C39" s="27" t="s">
        <v>28</v>
      </c>
      <c r="D39" s="36"/>
      <c r="G39" s="36"/>
      <c r="H39" s="41">
        <f>C5*Assumptions!C18/1000</f>
        <v>3</v>
      </c>
      <c r="I39" s="231">
        <f>Assumptions!C19</f>
        <v>0.28000000000000003</v>
      </c>
      <c r="J39" s="85">
        <f>H39*I39*6/Assumptions!C29</f>
        <v>5.0400000000000009</v>
      </c>
      <c r="K39" s="41">
        <f>H39*(1+Assumptions!$C$31)</f>
        <v>3.3000000000000003</v>
      </c>
      <c r="L39" s="27">
        <f>I39*(1+Assumptions!$C$30)</f>
        <v>0.29400000000000004</v>
      </c>
      <c r="M39" s="85">
        <f>K39*L39*12/Assumptions!$C$29</f>
        <v>11.642400000000002</v>
      </c>
      <c r="N39" s="41">
        <f>K39*(1+Assumptions!$C$31)</f>
        <v>3.6300000000000008</v>
      </c>
      <c r="O39" s="27">
        <f>L39*(1+Assumptions!$C$30)</f>
        <v>0.30870000000000003</v>
      </c>
      <c r="P39" s="85">
        <f>N39*O39*12/Assumptions!$C$29</f>
        <v>13.446972000000002</v>
      </c>
      <c r="Q39" s="27">
        <f>N39*(1+Assumptions!$C$31)</f>
        <v>3.9930000000000012</v>
      </c>
      <c r="R39" s="27">
        <f>O39*(1+Assumptions!$C$30)</f>
        <v>0.32413500000000006</v>
      </c>
      <c r="S39" s="85">
        <f>Q39*R39*12/Assumptions!$C$29</f>
        <v>15.531252660000009</v>
      </c>
      <c r="T39" s="41">
        <f>Q39*(1+Assumptions!$C$31)</f>
        <v>4.3923000000000014</v>
      </c>
      <c r="U39" s="27">
        <f>R39*(1+Assumptions!$C$30)</f>
        <v>0.34034175000000005</v>
      </c>
      <c r="V39" s="85">
        <f>T39*U39*12/Assumptions!$C$29</f>
        <v>17.93859682230001</v>
      </c>
    </row>
    <row r="40" spans="1:22" s="47" customFormat="1" ht="16" thickBot="1" x14ac:dyDescent="0.2">
      <c r="A40" s="48"/>
      <c r="B40" s="20" t="s">
        <v>1</v>
      </c>
      <c r="C40" s="23" t="s">
        <v>27</v>
      </c>
      <c r="D40" s="36"/>
      <c r="G40" s="36"/>
      <c r="H40" s="43">
        <f>H49*Assumptions!$C$16</f>
        <v>6000</v>
      </c>
      <c r="I40" s="232">
        <f>Assumptions!C17</f>
        <v>0.152</v>
      </c>
      <c r="J40" s="83">
        <f>H40*I40*6/Assumptions!C29</f>
        <v>5472</v>
      </c>
      <c r="K40" s="43">
        <f>K49*Assumptions!$C$16</f>
        <v>6600</v>
      </c>
      <c r="L40" s="23">
        <f>I40*(1+Assumptions!$C$30)</f>
        <v>0.15959999999999999</v>
      </c>
      <c r="M40" s="83">
        <f>K40*L40*12/Assumptions!$C$29</f>
        <v>12640.32</v>
      </c>
      <c r="N40" s="43">
        <f>N49*Assumptions!$C$16</f>
        <v>7260.0000000000009</v>
      </c>
      <c r="O40" s="23">
        <f>L40*(1+Assumptions!$C$30)</f>
        <v>0.16758000000000001</v>
      </c>
      <c r="P40" s="83">
        <f>N40*O40*12/Assumptions!$C$29</f>
        <v>14599.569600000003</v>
      </c>
      <c r="Q40" s="23">
        <f>Q49*Assumptions!$C$16</f>
        <v>7986.0000000000018</v>
      </c>
      <c r="R40" s="23">
        <f>O40*(1+Assumptions!$C$30)</f>
        <v>0.175959</v>
      </c>
      <c r="S40" s="83">
        <f>Q40*R40*12/Assumptions!$C$29</f>
        <v>16862.502888000006</v>
      </c>
      <c r="T40" s="43">
        <f>T49*Assumptions!$C$16</f>
        <v>8784.6000000000022</v>
      </c>
      <c r="U40" s="23">
        <f>R40*(1+Assumptions!$C$30)</f>
        <v>0.18475695</v>
      </c>
      <c r="V40" s="83">
        <f>T40*U40*12/Assumptions!$C$29</f>
        <v>19476.190835640005</v>
      </c>
    </row>
    <row r="41" spans="1:22" ht="15" thickBot="1" x14ac:dyDescent="0.2">
      <c r="B41" s="49" t="s">
        <v>145</v>
      </c>
      <c r="C41" s="29"/>
      <c r="D41" s="34"/>
      <c r="E41" s="136"/>
      <c r="F41" s="137"/>
      <c r="G41" s="34"/>
      <c r="H41" s="32"/>
      <c r="I41" s="50"/>
      <c r="J41" s="90">
        <f>SUM(J31:J40)</f>
        <v>29535.54</v>
      </c>
      <c r="K41" s="32"/>
      <c r="L41" s="29"/>
      <c r="M41" s="90">
        <f>SUM(M31:M40)</f>
        <v>71654.29740000001</v>
      </c>
      <c r="N41" s="32"/>
      <c r="O41" s="29"/>
      <c r="P41" s="90">
        <f>SUM(P31:P40)</f>
        <v>85909.453497000024</v>
      </c>
      <c r="Q41" s="29"/>
      <c r="R41" s="29"/>
      <c r="S41" s="90">
        <f>SUM(S31:S40)</f>
        <v>102059.28478903504</v>
      </c>
      <c r="T41" s="29"/>
      <c r="U41" s="29"/>
      <c r="V41" s="90">
        <f>SUM(V31:V40)</f>
        <v>120358.10668133548</v>
      </c>
    </row>
    <row r="42" spans="1:22" s="51" customFormat="1" ht="15" thickBot="1" x14ac:dyDescent="0.2">
      <c r="C42" s="52"/>
      <c r="D42" s="53"/>
      <c r="G42" s="55"/>
      <c r="H42" s="54"/>
      <c r="I42" s="52"/>
      <c r="J42" s="55"/>
      <c r="K42" s="52"/>
      <c r="L42" s="52"/>
      <c r="M42" s="55"/>
      <c r="N42" s="52"/>
      <c r="O42" s="52"/>
      <c r="P42" s="55"/>
      <c r="Q42" s="52"/>
      <c r="R42" s="52"/>
      <c r="S42" s="55"/>
      <c r="T42" s="52"/>
      <c r="U42" s="52"/>
      <c r="V42" s="55"/>
    </row>
    <row r="43" spans="1:22" s="47" customFormat="1" ht="15" thickBot="1" x14ac:dyDescent="0.2">
      <c r="B43" s="56" t="s">
        <v>69</v>
      </c>
      <c r="C43" s="57"/>
      <c r="D43" s="58"/>
      <c r="E43" s="162"/>
      <c r="F43" s="163"/>
      <c r="G43" s="164">
        <f>G41+G28</f>
        <v>44275</v>
      </c>
      <c r="H43" s="169"/>
      <c r="I43" s="57"/>
      <c r="J43" s="164">
        <f>J41+J28</f>
        <v>33585.54</v>
      </c>
      <c r="K43" s="59"/>
      <c r="L43" s="60"/>
      <c r="M43" s="90">
        <f>M41+M28</f>
        <v>81269.29740000001</v>
      </c>
      <c r="N43" s="59"/>
      <c r="O43" s="60"/>
      <c r="P43" s="90">
        <f>P41+P28</f>
        <v>92961.140997000024</v>
      </c>
      <c r="Q43" s="59"/>
      <c r="R43" s="60"/>
      <c r="S43" s="90">
        <f>S41+S28</f>
        <v>107733.39853903504</v>
      </c>
      <c r="T43" s="59"/>
      <c r="U43" s="60"/>
      <c r="V43" s="90">
        <f>V41+V28</f>
        <v>124634.38824383548</v>
      </c>
    </row>
    <row r="44" spans="1:22" x14ac:dyDescent="0.15">
      <c r="B44" s="223" t="s">
        <v>70</v>
      </c>
      <c r="C44" s="39"/>
      <c r="D44" s="58"/>
      <c r="E44" s="140"/>
      <c r="F44" s="141"/>
      <c r="G44" s="168"/>
      <c r="H44" s="37"/>
      <c r="I44" s="39"/>
      <c r="J44" s="91">
        <f>SUM(G13:G20)/10</f>
        <v>2987.5</v>
      </c>
      <c r="K44" s="224"/>
      <c r="L44" s="225"/>
      <c r="M44" s="91">
        <f>J44+SUM(J13:J20)/10</f>
        <v>2987.5</v>
      </c>
      <c r="N44" s="224"/>
      <c r="O44" s="225"/>
      <c r="P44" s="91">
        <f>M44+SUM(M13:M20)/10</f>
        <v>3538.75</v>
      </c>
      <c r="Q44" s="224"/>
      <c r="R44" s="225"/>
      <c r="S44" s="91">
        <f>P44+SUM(P13:P20)/10</f>
        <v>3828.15625</v>
      </c>
      <c r="T44" s="224"/>
      <c r="U44" s="225"/>
      <c r="V44" s="91">
        <f>S44+SUM(S13:S20)/10</f>
        <v>3974.0169999999998</v>
      </c>
    </row>
    <row r="45" spans="1:22" ht="15" thickBot="1" x14ac:dyDescent="0.2">
      <c r="B45" s="108" t="s">
        <v>99</v>
      </c>
      <c r="C45" s="27"/>
      <c r="D45" s="161"/>
      <c r="E45" s="159"/>
      <c r="F45" s="160"/>
      <c r="G45" s="167"/>
      <c r="H45" s="41"/>
      <c r="I45" s="27"/>
      <c r="J45" s="85">
        <f>(J43-J28)*0.03</f>
        <v>886.06619999999998</v>
      </c>
      <c r="K45" s="41"/>
      <c r="L45" s="27"/>
      <c r="M45" s="85">
        <f>(M43-M28)*0.03</f>
        <v>2149.6289220000003</v>
      </c>
      <c r="N45" s="41"/>
      <c r="O45" s="27"/>
      <c r="P45" s="85">
        <f>(P43-P28)*0.03</f>
        <v>2577.2836049100006</v>
      </c>
      <c r="Q45" s="41"/>
      <c r="R45" s="27"/>
      <c r="S45" s="85">
        <f>(S43-S28)*0.03</f>
        <v>3061.778543671051</v>
      </c>
      <c r="T45" s="41"/>
      <c r="U45" s="27"/>
      <c r="V45" s="85">
        <f>(V43-V28)*0.03</f>
        <v>3610.7432004400644</v>
      </c>
    </row>
    <row r="46" spans="1:22" ht="15" thickBot="1" x14ac:dyDescent="0.2">
      <c r="B46" s="61" t="s">
        <v>66</v>
      </c>
      <c r="C46" s="31"/>
      <c r="D46" s="62"/>
      <c r="E46" s="165"/>
      <c r="F46" s="166"/>
      <c r="G46" s="87">
        <f>SUM(G43:G45)</f>
        <v>44275</v>
      </c>
      <c r="H46" s="32"/>
      <c r="I46" s="29"/>
      <c r="J46" s="90">
        <f>SUM(J43:J45)</f>
        <v>37459.106200000002</v>
      </c>
      <c r="K46" s="32"/>
      <c r="L46" s="29"/>
      <c r="M46" s="90">
        <f>SUM(M43:M45)</f>
        <v>86406.426322000014</v>
      </c>
      <c r="N46" s="32"/>
      <c r="O46" s="29"/>
      <c r="P46" s="90">
        <f>SUM(P43:P45)</f>
        <v>99077.174601910025</v>
      </c>
      <c r="Q46" s="32"/>
      <c r="R46" s="29"/>
      <c r="S46" s="90">
        <f>SUM(S43:S45)</f>
        <v>114623.3333327061</v>
      </c>
      <c r="T46" s="32"/>
      <c r="U46" s="29"/>
      <c r="V46" s="90">
        <f>SUM(V43:V45)</f>
        <v>132219.14844427555</v>
      </c>
    </row>
    <row r="47" spans="1:22" s="51" customFormat="1" ht="15" thickBot="1" x14ac:dyDescent="0.2">
      <c r="C47" s="52"/>
      <c r="D47" s="53"/>
      <c r="H47" s="54"/>
      <c r="I47" s="52"/>
      <c r="J47" s="55"/>
      <c r="K47" s="52"/>
      <c r="L47" s="52"/>
      <c r="M47" s="55"/>
      <c r="N47" s="52"/>
      <c r="O47" s="52"/>
      <c r="P47" s="55"/>
      <c r="Q47" s="52"/>
      <c r="R47" s="52"/>
      <c r="S47" s="55"/>
      <c r="T47" s="52"/>
      <c r="U47" s="52"/>
      <c r="V47" s="55"/>
    </row>
    <row r="48" spans="1:22" s="96" customFormat="1" ht="45" x14ac:dyDescent="0.15">
      <c r="B48" s="97" t="s">
        <v>33</v>
      </c>
      <c r="C48" s="98" t="s">
        <v>10</v>
      </c>
      <c r="D48" s="99"/>
      <c r="E48" s="144"/>
      <c r="F48" s="145"/>
      <c r="G48" s="220"/>
      <c r="H48" s="100" t="s">
        <v>21</v>
      </c>
      <c r="I48" s="101" t="s">
        <v>140</v>
      </c>
      <c r="J48" s="102" t="s">
        <v>91</v>
      </c>
      <c r="K48" s="100" t="str">
        <f>H48</f>
        <v>Units per month</v>
      </c>
      <c r="L48" s="101" t="str">
        <f>I48</f>
        <v>Unit price (USD/t)</v>
      </c>
      <c r="M48" s="102" t="str">
        <f>J48</f>
        <v>Total income (USD/yr)</v>
      </c>
      <c r="N48" s="100" t="str">
        <f t="shared" ref="N48:V48" si="12">K48</f>
        <v>Units per month</v>
      </c>
      <c r="O48" s="101" t="str">
        <f t="shared" si="12"/>
        <v>Unit price (USD/t)</v>
      </c>
      <c r="P48" s="102" t="str">
        <f t="shared" si="12"/>
        <v>Total income (USD/yr)</v>
      </c>
      <c r="Q48" s="100" t="str">
        <f t="shared" si="12"/>
        <v>Units per month</v>
      </c>
      <c r="R48" s="101" t="str">
        <f t="shared" si="12"/>
        <v>Unit price (USD/t)</v>
      </c>
      <c r="S48" s="102" t="str">
        <f t="shared" si="12"/>
        <v>Total income (USD/yr)</v>
      </c>
      <c r="T48" s="100" t="str">
        <f t="shared" si="12"/>
        <v>Units per month</v>
      </c>
      <c r="U48" s="101" t="str">
        <f t="shared" si="12"/>
        <v>Unit price (USD/t)</v>
      </c>
      <c r="V48" s="102" t="str">
        <f t="shared" si="12"/>
        <v>Total income (USD/yr)</v>
      </c>
    </row>
    <row r="49" spans="2:33" ht="15" thickBot="1" x14ac:dyDescent="0.2">
      <c r="B49" s="134" t="s">
        <v>20</v>
      </c>
      <c r="C49" s="135" t="s">
        <v>38</v>
      </c>
      <c r="D49" s="142"/>
      <c r="E49" s="146"/>
      <c r="F49" s="147"/>
      <c r="G49" s="221"/>
      <c r="H49" s="63">
        <f>C5</f>
        <v>30</v>
      </c>
      <c r="I49" s="64">
        <f>Assumptions!C7*1000</f>
        <v>450</v>
      </c>
      <c r="J49" s="103">
        <f>I49*H49*6/Assumptions!C29</f>
        <v>81000</v>
      </c>
      <c r="K49" s="63">
        <f>H49*(1+Assumptions!$C$31)</f>
        <v>33</v>
      </c>
      <c r="L49" s="64">
        <f>I49*(1+Assumptions!$C$30)</f>
        <v>472.5</v>
      </c>
      <c r="M49" s="103">
        <f>L49*K49*12/Assumptions!$C$29</f>
        <v>187110</v>
      </c>
      <c r="N49" s="63">
        <f>K49*(1+Assumptions!$C$31)</f>
        <v>36.300000000000004</v>
      </c>
      <c r="O49" s="64">
        <f>L49*(1+Assumptions!$C$30)</f>
        <v>496.125</v>
      </c>
      <c r="P49" s="103">
        <f>O49*N49*12/Assumptions!$C$29</f>
        <v>216112.05000000002</v>
      </c>
      <c r="Q49" s="63">
        <f>N49*(1+Assumptions!$C$31)</f>
        <v>39.930000000000007</v>
      </c>
      <c r="R49" s="64">
        <f>O49*(1+Assumptions!$C$30)</f>
        <v>520.93124999999998</v>
      </c>
      <c r="S49" s="103">
        <f>R49*Q49*12/Assumptions!$C$29</f>
        <v>249609.41775000002</v>
      </c>
      <c r="T49" s="63">
        <f>Q49*(1+Assumptions!$C$31)</f>
        <v>43.923000000000009</v>
      </c>
      <c r="U49" s="64">
        <f>R49*(1+Assumptions!$C$30)</f>
        <v>546.97781250000003</v>
      </c>
      <c r="V49" s="103">
        <f>U49*T49*12/Assumptions!$C$29</f>
        <v>288298.87750125007</v>
      </c>
    </row>
    <row r="50" spans="2:33" ht="15" thickBot="1" x14ac:dyDescent="0.2">
      <c r="B50" s="49" t="s">
        <v>72</v>
      </c>
      <c r="C50" s="65"/>
      <c r="D50" s="66"/>
      <c r="E50" s="148"/>
      <c r="F50" s="149"/>
      <c r="G50" s="34"/>
      <c r="H50" s="67"/>
      <c r="I50" s="60"/>
      <c r="J50" s="90">
        <f>SUM(J49:J49)</f>
        <v>81000</v>
      </c>
      <c r="K50" s="67"/>
      <c r="L50" s="60"/>
      <c r="M50" s="90">
        <f>SUM(M49:M49)</f>
        <v>187110</v>
      </c>
      <c r="N50" s="67"/>
      <c r="O50" s="60"/>
      <c r="P50" s="90">
        <f>SUM(P49:P49)</f>
        <v>216112.05000000002</v>
      </c>
      <c r="Q50" s="67"/>
      <c r="R50" s="60"/>
      <c r="S50" s="90">
        <f>SUM(S49:S49)</f>
        <v>249609.41775000002</v>
      </c>
      <c r="T50" s="67"/>
      <c r="U50" s="60"/>
      <c r="V50" s="90">
        <f>SUM(V49:V49)</f>
        <v>288298.87750125007</v>
      </c>
    </row>
    <row r="51" spans="2:33" s="51" customFormat="1" ht="15" thickBot="1" x14ac:dyDescent="0.2">
      <c r="C51" s="52"/>
      <c r="D51" s="53"/>
      <c r="H51" s="54"/>
      <c r="I51" s="52"/>
      <c r="J51" s="104"/>
      <c r="K51" s="54"/>
      <c r="L51" s="52"/>
      <c r="M51" s="104"/>
      <c r="N51" s="54"/>
      <c r="O51" s="52"/>
      <c r="P51" s="104"/>
      <c r="Q51" s="54"/>
      <c r="R51" s="52"/>
      <c r="S51" s="104"/>
      <c r="T51" s="54"/>
      <c r="U51" s="52"/>
      <c r="V51" s="10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s="18" customFormat="1" ht="15" thickBot="1" x14ac:dyDescent="0.2">
      <c r="B52" s="19" t="s">
        <v>124</v>
      </c>
      <c r="C52" s="68"/>
      <c r="D52" s="69"/>
      <c r="E52" s="32"/>
      <c r="F52" s="29"/>
      <c r="G52" s="113">
        <f>G50-G46</f>
        <v>-44275</v>
      </c>
      <c r="H52" s="32"/>
      <c r="I52" s="29"/>
      <c r="J52" s="113">
        <f>J50-J46</f>
        <v>43540.893799999998</v>
      </c>
      <c r="K52" s="32"/>
      <c r="L52" s="29"/>
      <c r="M52" s="113">
        <f>M50-M46</f>
        <v>100703.57367799999</v>
      </c>
      <c r="N52" s="32"/>
      <c r="O52" s="29"/>
      <c r="P52" s="113">
        <f>P50-P46</f>
        <v>117034.87539808999</v>
      </c>
      <c r="Q52" s="32"/>
      <c r="R52" s="29"/>
      <c r="S52" s="113">
        <f>S50-S46</f>
        <v>134986.08441729393</v>
      </c>
      <c r="T52" s="32"/>
      <c r="U52" s="29"/>
      <c r="V52" s="113">
        <f>V50-V46</f>
        <v>156079.72905697452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s="18" customFormat="1" ht="15" thickBot="1" x14ac:dyDescent="0.2">
      <c r="B53" s="215" t="s">
        <v>154</v>
      </c>
      <c r="C53" s="216"/>
      <c r="D53" s="62"/>
      <c r="E53" s="30"/>
      <c r="F53" s="31"/>
      <c r="G53" s="217"/>
      <c r="H53" s="30"/>
      <c r="I53" s="31"/>
      <c r="J53" s="316">
        <f>J52/J49</f>
        <v>0.53754189876543212</v>
      </c>
      <c r="K53" s="30"/>
      <c r="L53" s="31"/>
      <c r="M53" s="316">
        <f>M52/M49</f>
        <v>0.53820519308428194</v>
      </c>
      <c r="N53" s="30"/>
      <c r="O53" s="31"/>
      <c r="P53" s="316">
        <f>P52/P49</f>
        <v>0.54154719923340688</v>
      </c>
      <c r="Q53" s="30"/>
      <c r="R53" s="31"/>
      <c r="S53" s="316">
        <f>S52/S49</f>
        <v>0.5407892283635356</v>
      </c>
      <c r="T53" s="30"/>
      <c r="U53" s="31"/>
      <c r="V53" s="316">
        <f>V52/V49</f>
        <v>0.54138167449610608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s="47" customFormat="1" ht="15" thickBot="1" x14ac:dyDescent="0.2">
      <c r="B54" s="219" t="s">
        <v>125</v>
      </c>
      <c r="C54" s="71"/>
      <c r="D54" s="218"/>
      <c r="E54" s="72"/>
      <c r="F54" s="73"/>
      <c r="G54" s="222">
        <f>'Fixed costs'!G31</f>
        <v>0</v>
      </c>
      <c r="H54" s="72"/>
      <c r="I54" s="73"/>
      <c r="J54" s="222">
        <f>'Fixed costs'!J31</f>
        <v>55693</v>
      </c>
      <c r="K54" s="72"/>
      <c r="L54" s="73"/>
      <c r="M54" s="222">
        <f>'Fixed costs'!M31</f>
        <v>84245.39999999998</v>
      </c>
      <c r="N54" s="72"/>
      <c r="O54" s="73"/>
      <c r="P54" s="222">
        <f>'Fixed costs'!P31</f>
        <v>93292.065000000017</v>
      </c>
      <c r="Q54" s="72"/>
      <c r="R54" s="73"/>
      <c r="S54" s="222">
        <f>'Fixed costs'!S31</f>
        <v>103233.159</v>
      </c>
      <c r="T54" s="72"/>
      <c r="U54" s="73"/>
      <c r="V54" s="222">
        <f>'Fixed costs'!V31</f>
        <v>114155.5458375</v>
      </c>
    </row>
    <row r="55" spans="2:33" s="47" customFormat="1" ht="15" thickBot="1" x14ac:dyDescent="0.2">
      <c r="B55" s="219" t="s">
        <v>155</v>
      </c>
      <c r="C55" s="71"/>
      <c r="D55" s="218"/>
      <c r="E55" s="72"/>
      <c r="F55" s="73"/>
      <c r="G55" s="222"/>
      <c r="H55" s="72"/>
      <c r="I55" s="73"/>
      <c r="J55" s="153">
        <f>J54/J49</f>
        <v>0.6875679012345679</v>
      </c>
      <c r="K55" s="72"/>
      <c r="L55" s="73"/>
      <c r="M55" s="153">
        <f>M54/M49</f>
        <v>0.45024531024531012</v>
      </c>
      <c r="N55" s="72"/>
      <c r="O55" s="73"/>
      <c r="P55" s="153">
        <f>P54/P49</f>
        <v>0.43168377237641309</v>
      </c>
      <c r="Q55" s="72"/>
      <c r="R55" s="73"/>
      <c r="S55" s="153">
        <f>S54/S49</f>
        <v>0.41357878212509869</v>
      </c>
      <c r="T55" s="72"/>
      <c r="U55" s="73"/>
      <c r="V55" s="153">
        <f>V54/V49</f>
        <v>0.39596250539340039</v>
      </c>
    </row>
    <row r="56" spans="2:33" s="18" customFormat="1" ht="15" thickBot="1" x14ac:dyDescent="0.2">
      <c r="B56" s="215" t="s">
        <v>126</v>
      </c>
      <c r="C56" s="216"/>
      <c r="D56" s="62"/>
      <c r="E56" s="30"/>
      <c r="F56" s="31"/>
      <c r="G56" s="217">
        <f>G52-G54</f>
        <v>-44275</v>
      </c>
      <c r="H56" s="30"/>
      <c r="I56" s="31"/>
      <c r="J56" s="217">
        <f>J52-J54</f>
        <v>-12152.106200000002</v>
      </c>
      <c r="K56" s="30"/>
      <c r="L56" s="31"/>
      <c r="M56" s="217">
        <f>M52-M54</f>
        <v>16458.173678000006</v>
      </c>
      <c r="N56" s="30"/>
      <c r="O56" s="31"/>
      <c r="P56" s="217">
        <f>P52-P54</f>
        <v>23742.810398089976</v>
      </c>
      <c r="Q56" s="30"/>
      <c r="R56" s="31"/>
      <c r="S56" s="217">
        <f>S52-S54</f>
        <v>31752.925417293925</v>
      </c>
      <c r="T56" s="30"/>
      <c r="U56" s="31"/>
      <c r="V56" s="217">
        <f>V52-V54</f>
        <v>41924.183219474522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33" ht="15" thickBot="1" x14ac:dyDescent="0.2">
      <c r="B57" s="70" t="s">
        <v>32</v>
      </c>
      <c r="C57" s="71"/>
      <c r="D57" s="62"/>
      <c r="E57" s="72"/>
      <c r="F57" s="73"/>
      <c r="G57" s="153">
        <f>G56/G46</f>
        <v>-1</v>
      </c>
      <c r="H57" s="72"/>
      <c r="I57" s="73"/>
      <c r="J57" s="153">
        <f>J56/J46</f>
        <v>-0.32440993479977909</v>
      </c>
      <c r="K57" s="72"/>
      <c r="L57" s="73"/>
      <c r="M57" s="153">
        <f>M56/M46</f>
        <v>0.19047395406294657</v>
      </c>
      <c r="N57" s="72"/>
      <c r="O57" s="73"/>
      <c r="P57" s="153">
        <f>P56/P46</f>
        <v>0.23963955869238382</v>
      </c>
      <c r="Q57" s="72"/>
      <c r="R57" s="73"/>
      <c r="S57" s="153">
        <f>S56/S46</f>
        <v>0.27701973493588578</v>
      </c>
      <c r="T57" s="72"/>
      <c r="U57" s="73"/>
      <c r="V57" s="153">
        <f>V56/V46</f>
        <v>0.31708102580273151</v>
      </c>
    </row>
    <row r="58" spans="2:33" s="47" customFormat="1" x14ac:dyDescent="0.15">
      <c r="B58" s="17"/>
      <c r="C58" s="74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15" thickBot="1" x14ac:dyDescent="0.2">
      <c r="B59" s="76"/>
      <c r="C59" s="77"/>
      <c r="D59" s="78"/>
      <c r="E59" s="78"/>
      <c r="F59" s="78"/>
      <c r="G59" s="79"/>
    </row>
    <row r="60" spans="2:33" s="96" customFormat="1" ht="46" thickBot="1" x14ac:dyDescent="0.2">
      <c r="B60" s="124" t="s">
        <v>7</v>
      </c>
      <c r="C60" s="125" t="s">
        <v>60</v>
      </c>
      <c r="D60" s="126" t="s">
        <v>61</v>
      </c>
      <c r="E60" s="127" t="s">
        <v>59</v>
      </c>
      <c r="F60" s="128"/>
      <c r="G60" s="129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2:33" s="96" customFormat="1" x14ac:dyDescent="0.15">
      <c r="B61" s="131">
        <v>0</v>
      </c>
      <c r="C61" s="132">
        <f>G56</f>
        <v>-44275</v>
      </c>
      <c r="D61" s="105">
        <f>-PV(Assumptions!$C$32,'Financial model (Detail)'!B61,,'Financial model (Detail)'!C61)</f>
        <v>-44275</v>
      </c>
      <c r="E61" s="133">
        <f>C61</f>
        <v>-44275</v>
      </c>
      <c r="F61" s="128"/>
      <c r="G61" s="143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2:33" x14ac:dyDescent="0.15">
      <c r="B62" s="81">
        <v>1</v>
      </c>
      <c r="C62" s="105">
        <f>J56</f>
        <v>-12152.106200000002</v>
      </c>
      <c r="D62" s="105">
        <f>-PV(Assumptions!$C$32,'Financial model (Detail)'!B62,,'Financial model (Detail)'!C62)</f>
        <v>-10126.75516666667</v>
      </c>
      <c r="E62" s="106">
        <f>E61+D62</f>
        <v>-54401.75516666667</v>
      </c>
      <c r="F62" s="80"/>
      <c r="G62" s="74"/>
    </row>
    <row r="63" spans="2:33" x14ac:dyDescent="0.15">
      <c r="B63" s="81">
        <f>B62+1</f>
        <v>2</v>
      </c>
      <c r="C63" s="105">
        <f>M56</f>
        <v>16458.173678000006</v>
      </c>
      <c r="D63" s="105">
        <f>-PV(Assumptions!$C$32,'Financial model (Detail)'!B63,,'Financial model (Detail)'!C63)</f>
        <v>11429.287276388894</v>
      </c>
      <c r="E63" s="106">
        <f t="shared" ref="E63:E66" si="13">E62+D63</f>
        <v>-42972.467890277774</v>
      </c>
      <c r="F63" s="80"/>
      <c r="G63" s="74"/>
      <c r="I63" s="154"/>
      <c r="U63" s="7" t="s">
        <v>45</v>
      </c>
    </row>
    <row r="64" spans="2:33" x14ac:dyDescent="0.15">
      <c r="B64" s="81">
        <f t="shared" ref="B64:B66" si="14">B63+1</f>
        <v>3</v>
      </c>
      <c r="C64" s="105">
        <f>P56</f>
        <v>23742.810398089976</v>
      </c>
      <c r="D64" s="105">
        <f>-PV(Assumptions!$C$32,'Financial model (Detail)'!B64,,'Financial model (Detail)'!C64)</f>
        <v>13740.052313709477</v>
      </c>
      <c r="E64" s="106">
        <f t="shared" si="13"/>
        <v>-29232.415576568295</v>
      </c>
      <c r="F64" s="80"/>
      <c r="I64" s="213"/>
    </row>
    <row r="65" spans="2:22" x14ac:dyDescent="0.15">
      <c r="B65" s="81">
        <f t="shared" si="14"/>
        <v>4</v>
      </c>
      <c r="C65" s="105">
        <f>S56</f>
        <v>31752.925417293925</v>
      </c>
      <c r="D65" s="105">
        <f>-PV(Assumptions!$C$32,'Financial model (Detail)'!B65,,'Financial model (Detail)'!C65)</f>
        <v>15312.946285346223</v>
      </c>
      <c r="E65" s="106">
        <f t="shared" si="13"/>
        <v>-13919.469291222073</v>
      </c>
      <c r="F65" s="80"/>
      <c r="G65" s="74"/>
      <c r="I65" s="213"/>
    </row>
    <row r="66" spans="2:22" ht="15" thickBot="1" x14ac:dyDescent="0.2">
      <c r="B66" s="291">
        <f t="shared" si="14"/>
        <v>5</v>
      </c>
      <c r="C66" s="292">
        <f>V56</f>
        <v>41924.183219474522</v>
      </c>
      <c r="D66" s="292">
        <f>-PV(Assumptions!$C$32,'Financial model (Detail)'!B66,,'Financial model (Detail)'!C66)</f>
        <v>16848.388961015677</v>
      </c>
      <c r="E66" s="293">
        <f t="shared" si="13"/>
        <v>2928.919669793604</v>
      </c>
      <c r="F66" s="80"/>
    </row>
    <row r="67" spans="2:22" ht="15" thickBot="1" x14ac:dyDescent="0.2">
      <c r="B67" s="290"/>
      <c r="C67" s="294">
        <f>SUM(C61:C66)</f>
        <v>57450.986512858428</v>
      </c>
      <c r="D67" s="294">
        <f>SUM(D61:D66)</f>
        <v>2928.919669793604</v>
      </c>
      <c r="E67" s="295"/>
      <c r="F67" s="156"/>
    </row>
    <row r="68" spans="2:22" ht="15" thickBot="1" x14ac:dyDescent="0.2">
      <c r="G68" s="79"/>
    </row>
    <row r="69" spans="2:22" ht="15" thickBot="1" x14ac:dyDescent="0.2">
      <c r="B69" s="122" t="s">
        <v>14</v>
      </c>
      <c r="C69" s="123" t="s">
        <v>15</v>
      </c>
      <c r="E69" s="2"/>
      <c r="F69" s="2"/>
      <c r="G69" s="2"/>
      <c r="H69" s="2"/>
      <c r="I69" s="2"/>
      <c r="J69" s="2"/>
    </row>
    <row r="70" spans="2:22" x14ac:dyDescent="0.15">
      <c r="B70" s="120" t="s">
        <v>9</v>
      </c>
      <c r="C70" s="83">
        <f>D67</f>
        <v>2928.919669793604</v>
      </c>
      <c r="E70" s="2"/>
      <c r="F70" s="2"/>
      <c r="G70" s="2"/>
      <c r="H70" s="2"/>
      <c r="I70" s="2"/>
      <c r="J70" s="2"/>
    </row>
    <row r="71" spans="2:22" x14ac:dyDescent="0.15">
      <c r="B71" s="108" t="s">
        <v>8</v>
      </c>
      <c r="C71" s="214">
        <f>IRR(C61:C66)</f>
        <v>0.21831862201636509</v>
      </c>
      <c r="E71" s="2"/>
      <c r="F71" s="2"/>
      <c r="G71" s="2"/>
      <c r="H71" s="2"/>
      <c r="I71" s="2"/>
      <c r="J71" s="2"/>
    </row>
    <row r="72" spans="2:22" ht="15" thickBot="1" x14ac:dyDescent="0.2">
      <c r="B72" s="121" t="s">
        <v>11</v>
      </c>
      <c r="C72" s="155">
        <f>D67/-C61</f>
        <v>6.6152900503525777E-2</v>
      </c>
      <c r="E72" s="2"/>
      <c r="F72" s="2"/>
      <c r="G72" s="2"/>
      <c r="H72" s="2"/>
      <c r="I72" s="2"/>
      <c r="J72" s="2"/>
    </row>
    <row r="73" spans="2:22" x14ac:dyDescent="0.15">
      <c r="E73" s="2"/>
      <c r="F73" s="2"/>
      <c r="G73" s="2"/>
      <c r="H73" s="2"/>
      <c r="I73" s="2"/>
      <c r="J73" s="2"/>
    </row>
    <row r="74" spans="2:22" x14ac:dyDescent="0.15">
      <c r="C74" s="2"/>
      <c r="E74" s="2"/>
      <c r="F74" s="2"/>
      <c r="G74" s="2"/>
      <c r="H74" s="2"/>
      <c r="I74" s="2"/>
      <c r="J74" s="2"/>
    </row>
    <row r="75" spans="2:22" x14ac:dyDescent="0.15">
      <c r="C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x14ac:dyDescent="0.15">
      <c r="B76" s="151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x14ac:dyDescent="0.15">
      <c r="B77" s="150"/>
      <c r="C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x14ac:dyDescent="0.15">
      <c r="B78" s="152"/>
      <c r="C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x14ac:dyDescent="0.15"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x14ac:dyDescent="0.15">
      <c r="C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4:4" s="2" customFormat="1" x14ac:dyDescent="0.15">
      <c r="D81" s="10"/>
    </row>
    <row r="82" spans="4:4" s="2" customFormat="1" x14ac:dyDescent="0.15">
      <c r="D82" s="10"/>
    </row>
    <row r="83" spans="4:4" s="2" customFormat="1" x14ac:dyDescent="0.15">
      <c r="D83" s="10"/>
    </row>
    <row r="84" spans="4:4" s="2" customFormat="1" x14ac:dyDescent="0.15">
      <c r="D84" s="10"/>
    </row>
    <row r="85" spans="4:4" s="2" customFormat="1" x14ac:dyDescent="0.15">
      <c r="D85" s="10"/>
    </row>
    <row r="86" spans="4:4" s="2" customFormat="1" x14ac:dyDescent="0.15">
      <c r="D86" s="10"/>
    </row>
    <row r="87" spans="4:4" s="2" customFormat="1" x14ac:dyDescent="0.15">
      <c r="D87" s="10"/>
    </row>
    <row r="88" spans="4:4" s="2" customFormat="1" x14ac:dyDescent="0.15">
      <c r="D88" s="10"/>
    </row>
    <row r="89" spans="4:4" s="2" customFormat="1" x14ac:dyDescent="0.15">
      <c r="D89" s="10"/>
    </row>
    <row r="90" spans="4:4" s="2" customFormat="1" x14ac:dyDescent="0.15">
      <c r="D90" s="10"/>
    </row>
    <row r="91" spans="4:4" s="2" customFormat="1" x14ac:dyDescent="0.15">
      <c r="D91" s="10"/>
    </row>
    <row r="92" spans="4:4" s="2" customFormat="1" x14ac:dyDescent="0.15">
      <c r="D92" s="10"/>
    </row>
    <row r="93" spans="4:4" s="2" customFormat="1" x14ac:dyDescent="0.15">
      <c r="D93" s="10"/>
    </row>
    <row r="94" spans="4:4" s="2" customFormat="1" x14ac:dyDescent="0.15">
      <c r="D94" s="10"/>
    </row>
    <row r="95" spans="4:4" s="2" customFormat="1" x14ac:dyDescent="0.15">
      <c r="D95" s="10"/>
    </row>
    <row r="96" spans="4:4" s="2" customFormat="1" x14ac:dyDescent="0.15">
      <c r="D96" s="10"/>
    </row>
    <row r="97" spans="3:22" x14ac:dyDescent="0.15">
      <c r="C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3:22" x14ac:dyDescent="0.15">
      <c r="C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3:22" x14ac:dyDescent="0.15">
      <c r="C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3:22" x14ac:dyDescent="0.15">
      <c r="C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3:22" x14ac:dyDescent="0.15"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3:22" x14ac:dyDescent="0.15">
      <c r="C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3:22" x14ac:dyDescent="0.15">
      <c r="C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3:22" x14ac:dyDescent="0.15">
      <c r="C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3:22" x14ac:dyDescent="0.15">
      <c r="C105" s="33"/>
    </row>
  </sheetData>
  <mergeCells count="12">
    <mergeCell ref="T11:V11"/>
    <mergeCell ref="E10:G10"/>
    <mergeCell ref="H10:J10"/>
    <mergeCell ref="K10:M10"/>
    <mergeCell ref="N10:P10"/>
    <mergeCell ref="Q10:S10"/>
    <mergeCell ref="T10:V10"/>
    <mergeCell ref="E11:G11"/>
    <mergeCell ref="H11:J11"/>
    <mergeCell ref="K11:M11"/>
    <mergeCell ref="N11:P11"/>
    <mergeCell ref="Q11:S1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showGridLines="0" topLeftCell="A17" zoomScale="148" zoomScaleNormal="148" workbookViewId="0">
      <selection activeCell="C33" sqref="C33"/>
    </sheetView>
  </sheetViews>
  <sheetFormatPr baseColWidth="10" defaultColWidth="10.83203125" defaultRowHeight="14" x14ac:dyDescent="0.15"/>
  <cols>
    <col min="1" max="1" width="1.83203125" style="2" bestFit="1" customWidth="1"/>
    <col min="2" max="2" width="30.83203125" style="2" customWidth="1"/>
    <col min="3" max="3" width="15.83203125" style="2" bestFit="1" customWidth="1"/>
    <col min="4" max="4" width="26.1640625" style="2" customWidth="1"/>
    <col min="5" max="5" width="7.6640625" style="47" customWidth="1"/>
    <col min="6" max="16384" width="10.83203125" style="2"/>
  </cols>
  <sheetData>
    <row r="1" spans="1:29" ht="18" x14ac:dyDescent="0.2">
      <c r="A1" s="1" t="s">
        <v>103</v>
      </c>
    </row>
    <row r="2" spans="1:29" x14ac:dyDescent="0.15">
      <c r="A2" s="9"/>
    </row>
    <row r="3" spans="1:29" x14ac:dyDescent="0.15">
      <c r="A3" s="9"/>
    </row>
    <row r="4" spans="1:29" ht="15" thickBot="1" x14ac:dyDescent="0.2">
      <c r="C4" s="107"/>
    </row>
    <row r="5" spans="1:29" ht="15" thickBot="1" x14ac:dyDescent="0.2">
      <c r="B5" s="8"/>
      <c r="C5" s="195"/>
      <c r="D5" s="183"/>
      <c r="E5" s="18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72" customFormat="1" ht="15" thickBot="1" x14ac:dyDescent="0.25">
      <c r="B6" s="196" t="s">
        <v>106</v>
      </c>
      <c r="D6" s="197"/>
      <c r="E6" s="182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</row>
    <row r="7" spans="1:29" s="172" customFormat="1" x14ac:dyDescent="0.2">
      <c r="B7" s="198" t="s">
        <v>100</v>
      </c>
      <c r="C7" s="233">
        <v>0.45</v>
      </c>
      <c r="D7" s="199" t="s">
        <v>96</v>
      </c>
      <c r="E7" s="182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</row>
    <row r="8" spans="1:29" s="172" customFormat="1" x14ac:dyDescent="0.2">
      <c r="B8" s="200" t="s">
        <v>107</v>
      </c>
      <c r="C8" s="234">
        <v>0.05</v>
      </c>
      <c r="D8" s="201" t="s">
        <v>112</v>
      </c>
      <c r="E8" s="182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</row>
    <row r="9" spans="1:29" s="172" customFormat="1" x14ac:dyDescent="0.2">
      <c r="B9" s="200" t="s">
        <v>108</v>
      </c>
      <c r="C9" s="234">
        <v>0.1</v>
      </c>
      <c r="D9" s="201" t="s">
        <v>109</v>
      </c>
      <c r="E9" s="18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</row>
    <row r="10" spans="1:29" s="172" customFormat="1" x14ac:dyDescent="0.2">
      <c r="B10" s="200" t="s">
        <v>74</v>
      </c>
      <c r="C10" s="234">
        <v>10</v>
      </c>
      <c r="D10" s="201" t="s">
        <v>82</v>
      </c>
      <c r="E10" s="182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s="172" customFormat="1" x14ac:dyDescent="0.2">
      <c r="B11" s="180" t="s">
        <v>120</v>
      </c>
      <c r="C11" s="177">
        <v>15</v>
      </c>
      <c r="D11" s="184" t="s">
        <v>47</v>
      </c>
      <c r="E11" s="182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29" s="172" customFormat="1" x14ac:dyDescent="0.2">
      <c r="B12" s="200" t="s">
        <v>121</v>
      </c>
      <c r="C12" s="174">
        <v>15</v>
      </c>
      <c r="D12" s="201" t="s">
        <v>47</v>
      </c>
      <c r="E12" s="182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1:29" s="172" customFormat="1" ht="16" customHeight="1" x14ac:dyDescent="0.2">
      <c r="B13" s="175" t="s">
        <v>122</v>
      </c>
      <c r="C13" s="239">
        <v>220</v>
      </c>
      <c r="D13" s="176" t="s">
        <v>83</v>
      </c>
      <c r="E13" s="182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s="172" customFormat="1" ht="15" x14ac:dyDescent="0.2">
      <c r="B14" s="178" t="s">
        <v>123</v>
      </c>
      <c r="C14" s="240">
        <v>120</v>
      </c>
      <c r="D14" s="179" t="s">
        <v>83</v>
      </c>
      <c r="E14" s="182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29" s="172" customFormat="1" x14ac:dyDescent="0.2">
      <c r="B15" s="180" t="s">
        <v>48</v>
      </c>
      <c r="C15" s="235">
        <v>50</v>
      </c>
      <c r="D15" s="184" t="s">
        <v>84</v>
      </c>
      <c r="E15" s="182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</row>
    <row r="16" spans="1:29" s="172" customFormat="1" x14ac:dyDescent="0.2">
      <c r="B16" s="200" t="s">
        <v>49</v>
      </c>
      <c r="C16" s="174">
        <v>200</v>
      </c>
      <c r="D16" s="201" t="s">
        <v>75</v>
      </c>
      <c r="E16" s="182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2:29" s="172" customFormat="1" x14ac:dyDescent="0.2">
      <c r="B17" s="180" t="s">
        <v>52</v>
      </c>
      <c r="C17" s="236">
        <v>0.152</v>
      </c>
      <c r="D17" s="184" t="s">
        <v>85</v>
      </c>
      <c r="E17" s="182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</row>
    <row r="18" spans="2:29" s="172" customFormat="1" x14ac:dyDescent="0.2">
      <c r="B18" s="200" t="s">
        <v>50</v>
      </c>
      <c r="C18" s="174">
        <v>100</v>
      </c>
      <c r="D18" s="201" t="s">
        <v>51</v>
      </c>
      <c r="E18" s="182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</row>
    <row r="19" spans="2:29" s="172" customFormat="1" x14ac:dyDescent="0.2">
      <c r="B19" s="180" t="s">
        <v>53</v>
      </c>
      <c r="C19" s="236">
        <v>0.28000000000000003</v>
      </c>
      <c r="D19" s="184" t="s">
        <v>86</v>
      </c>
      <c r="E19" s="182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</row>
    <row r="20" spans="2:29" s="172" customFormat="1" x14ac:dyDescent="0.2">
      <c r="B20" s="200" t="s">
        <v>73</v>
      </c>
      <c r="C20" s="173">
        <v>30</v>
      </c>
      <c r="D20" s="201" t="s">
        <v>51</v>
      </c>
      <c r="E20" s="182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</row>
    <row r="21" spans="2:29" s="172" customFormat="1" x14ac:dyDescent="0.2">
      <c r="B21" s="180" t="s">
        <v>54</v>
      </c>
      <c r="C21" s="236">
        <v>1.8</v>
      </c>
      <c r="D21" s="184" t="s">
        <v>87</v>
      </c>
      <c r="E21" s="182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</row>
    <row r="22" spans="2:29" s="172" customFormat="1" ht="15" x14ac:dyDescent="0.2">
      <c r="B22" s="175" t="s">
        <v>26</v>
      </c>
      <c r="C22" s="237">
        <v>420</v>
      </c>
      <c r="D22" s="176" t="s">
        <v>88</v>
      </c>
      <c r="E22" s="182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</row>
    <row r="23" spans="2:29" s="172" customFormat="1" ht="15" x14ac:dyDescent="0.2">
      <c r="B23" s="178" t="s">
        <v>29</v>
      </c>
      <c r="C23" s="238">
        <v>100</v>
      </c>
      <c r="D23" s="179" t="s">
        <v>88</v>
      </c>
      <c r="E23" s="182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</row>
    <row r="24" spans="2:29" s="172" customFormat="1" ht="15" x14ac:dyDescent="0.2">
      <c r="B24" s="175" t="s">
        <v>22</v>
      </c>
      <c r="C24" s="237">
        <v>250</v>
      </c>
      <c r="D24" s="176" t="s">
        <v>56</v>
      </c>
      <c r="E24" s="182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</row>
    <row r="25" spans="2:29" s="172" customFormat="1" ht="15" x14ac:dyDescent="0.2">
      <c r="B25" s="178" t="s">
        <v>24</v>
      </c>
      <c r="C25" s="238">
        <v>500</v>
      </c>
      <c r="D25" s="179" t="s">
        <v>56</v>
      </c>
      <c r="E25" s="182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</row>
    <row r="26" spans="2:29" s="172" customFormat="1" ht="15" x14ac:dyDescent="0.2">
      <c r="B26" s="175" t="s">
        <v>23</v>
      </c>
      <c r="C26" s="239">
        <v>200</v>
      </c>
      <c r="D26" s="176" t="s">
        <v>88</v>
      </c>
      <c r="E26" s="182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</row>
    <row r="27" spans="2:29" s="172" customFormat="1" ht="15" x14ac:dyDescent="0.2">
      <c r="B27" s="175" t="s">
        <v>13</v>
      </c>
      <c r="C27" s="239">
        <v>80</v>
      </c>
      <c r="D27" s="176" t="s">
        <v>39</v>
      </c>
      <c r="E27" s="202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</row>
    <row r="28" spans="2:29" s="172" customFormat="1" ht="16" thickBot="1" x14ac:dyDescent="0.25">
      <c r="B28" s="178" t="s">
        <v>25</v>
      </c>
      <c r="C28" s="240">
        <v>250</v>
      </c>
      <c r="D28" s="179" t="s">
        <v>88</v>
      </c>
      <c r="E28" s="182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</row>
    <row r="29" spans="2:29" s="172" customFormat="1" x14ac:dyDescent="0.2">
      <c r="B29" s="203" t="s">
        <v>55</v>
      </c>
      <c r="C29" s="204">
        <v>1</v>
      </c>
      <c r="D29" s="205" t="s">
        <v>89</v>
      </c>
      <c r="E29" s="202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</row>
    <row r="30" spans="2:29" s="172" customFormat="1" x14ac:dyDescent="0.2">
      <c r="B30" s="200" t="s">
        <v>57</v>
      </c>
      <c r="C30" s="206">
        <v>0.05</v>
      </c>
      <c r="D30" s="201" t="s">
        <v>56</v>
      </c>
      <c r="E30" s="202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</row>
    <row r="31" spans="2:29" s="172" customFormat="1" x14ac:dyDescent="0.2">
      <c r="B31" s="180" t="s">
        <v>58</v>
      </c>
      <c r="C31" s="207">
        <v>0.1</v>
      </c>
      <c r="D31" s="184" t="s">
        <v>56</v>
      </c>
      <c r="E31" s="202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</row>
    <row r="32" spans="2:29" s="172" customFormat="1" ht="15" thickBot="1" x14ac:dyDescent="0.25">
      <c r="B32" s="208" t="s">
        <v>44</v>
      </c>
      <c r="C32" s="209">
        <v>0.2</v>
      </c>
      <c r="D32" s="210" t="s">
        <v>56</v>
      </c>
      <c r="E32" s="202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</row>
    <row r="33" spans="2:5" x14ac:dyDescent="0.15">
      <c r="C33" s="157"/>
    </row>
    <row r="34" spans="2:5" ht="15" thickBot="1" x14ac:dyDescent="0.2">
      <c r="B34" s="18" t="s">
        <v>105</v>
      </c>
    </row>
    <row r="35" spans="2:5" ht="15" x14ac:dyDescent="0.15">
      <c r="B35" s="185" t="s">
        <v>118</v>
      </c>
      <c r="C35" s="186">
        <v>6875</v>
      </c>
      <c r="D35" s="187"/>
    </row>
    <row r="36" spans="2:5" ht="15" x14ac:dyDescent="0.15">
      <c r="B36" s="24" t="s">
        <v>114</v>
      </c>
      <c r="C36" s="190">
        <v>4375</v>
      </c>
      <c r="D36" s="191"/>
    </row>
    <row r="37" spans="2:5" ht="15" x14ac:dyDescent="0.15">
      <c r="B37" s="20" t="s">
        <v>115</v>
      </c>
      <c r="C37" s="188">
        <v>100</v>
      </c>
      <c r="D37" s="189"/>
    </row>
    <row r="38" spans="2:5" ht="15" x14ac:dyDescent="0.15">
      <c r="B38" s="24" t="s">
        <v>116</v>
      </c>
      <c r="C38" s="190">
        <v>1250</v>
      </c>
      <c r="D38" s="191"/>
    </row>
    <row r="39" spans="2:5" ht="15" x14ac:dyDescent="0.15">
      <c r="B39" s="20" t="s">
        <v>117</v>
      </c>
      <c r="C39" s="188">
        <v>15625</v>
      </c>
      <c r="D39" s="189"/>
    </row>
    <row r="40" spans="2:5" ht="15" x14ac:dyDescent="0.15">
      <c r="B40" s="24" t="s">
        <v>17</v>
      </c>
      <c r="C40" s="190">
        <v>1500</v>
      </c>
      <c r="D40" s="191"/>
    </row>
    <row r="41" spans="2:5" ht="15" x14ac:dyDescent="0.15">
      <c r="B41" s="20" t="s">
        <v>94</v>
      </c>
      <c r="C41" s="188">
        <v>1200</v>
      </c>
      <c r="D41" s="189" t="s">
        <v>93</v>
      </c>
    </row>
    <row r="42" spans="2:5" ht="15" x14ac:dyDescent="0.15">
      <c r="B42" s="20" t="s">
        <v>18</v>
      </c>
      <c r="C42" s="188">
        <v>1000</v>
      </c>
      <c r="D42" s="189" t="s">
        <v>119</v>
      </c>
    </row>
    <row r="43" spans="2:5" ht="15" x14ac:dyDescent="0.15">
      <c r="B43" s="24" t="s">
        <v>16</v>
      </c>
      <c r="C43" s="190">
        <v>2900</v>
      </c>
      <c r="D43" s="191"/>
    </row>
    <row r="44" spans="2:5" ht="15" x14ac:dyDescent="0.15">
      <c r="B44" s="20" t="s">
        <v>98</v>
      </c>
      <c r="C44" s="188">
        <v>2000</v>
      </c>
      <c r="D44" s="189"/>
    </row>
    <row r="45" spans="2:5" ht="16" thickBot="1" x14ac:dyDescent="0.2">
      <c r="B45" s="192" t="s">
        <v>19</v>
      </c>
      <c r="C45" s="193">
        <v>2500</v>
      </c>
      <c r="D45" s="194"/>
    </row>
    <row r="46" spans="2:5" x14ac:dyDescent="0.15">
      <c r="B46" s="47"/>
      <c r="C46" s="158"/>
    </row>
    <row r="47" spans="2:5" x14ac:dyDescent="0.15">
      <c r="B47" s="172"/>
      <c r="C47" s="212"/>
      <c r="D47" s="172"/>
      <c r="E47" s="211"/>
    </row>
    <row r="48" spans="2:5" x14ac:dyDescent="0.15">
      <c r="B48" s="172"/>
      <c r="C48" s="212"/>
      <c r="D48" s="172"/>
      <c r="E48" s="211"/>
    </row>
    <row r="49" spans="2:5" x14ac:dyDescent="0.15">
      <c r="B49" s="172"/>
      <c r="C49" s="172"/>
      <c r="D49" s="172"/>
      <c r="E49" s="211"/>
    </row>
    <row r="50" spans="2:5" x14ac:dyDescent="0.15">
      <c r="B50" s="172"/>
      <c r="C50" s="172"/>
      <c r="D50" s="172"/>
      <c r="E50" s="211"/>
    </row>
    <row r="51" spans="2:5" x14ac:dyDescent="0.15">
      <c r="B51" s="172"/>
      <c r="C51" s="172"/>
      <c r="D51" s="172"/>
      <c r="E51" s="211"/>
    </row>
    <row r="52" spans="2:5" x14ac:dyDescent="0.15">
      <c r="B52" s="172"/>
      <c r="C52" s="172"/>
      <c r="D52" s="172"/>
      <c r="E52" s="211"/>
    </row>
    <row r="53" spans="2:5" x14ac:dyDescent="0.15">
      <c r="B53" s="172"/>
      <c r="C53" s="172"/>
      <c r="D53" s="172"/>
      <c r="E53" s="211"/>
    </row>
    <row r="54" spans="2:5" x14ac:dyDescent="0.15">
      <c r="B54" s="172"/>
      <c r="C54" s="172"/>
      <c r="D54" s="172"/>
      <c r="E54" s="211"/>
    </row>
  </sheetData>
  <conditionalFormatting sqref="C7:C10">
    <cfRule type="expression" dxfId="0" priority="4">
      <formula>IF($C$5="WEST NILE",)</formula>
    </cfRule>
  </conditionalFormatting>
  <dataValidations count="1">
    <dataValidation type="list" allowBlank="1" showInputMessage="1" showErrorMessage="1" sqref="C5" xr:uid="{00000000-0002-0000-0000-000000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FAB0-C6B4-0749-96CE-1B712CD22F42}">
  <dimension ref="B2:V31"/>
  <sheetViews>
    <sheetView zoomScale="79" zoomScaleNormal="79" workbookViewId="0">
      <selection activeCell="T22" sqref="T22:T27"/>
    </sheetView>
  </sheetViews>
  <sheetFormatPr baseColWidth="10" defaultColWidth="13" defaultRowHeight="14" x14ac:dyDescent="0.15"/>
  <cols>
    <col min="1" max="16384" width="13" style="2"/>
  </cols>
  <sheetData>
    <row r="2" spans="2:22" x14ac:dyDescent="0.15">
      <c r="B2" s="18" t="s">
        <v>139</v>
      </c>
    </row>
    <row r="3" spans="2:22" x14ac:dyDescent="0.15">
      <c r="B3" s="18"/>
    </row>
    <row r="4" spans="2:22" x14ac:dyDescent="0.15">
      <c r="B4" s="245" t="s">
        <v>141</v>
      </c>
      <c r="C4" s="245"/>
      <c r="D4" s="246">
        <v>0.1</v>
      </c>
    </row>
    <row r="5" spans="2:22" ht="15" thickBot="1" x14ac:dyDescent="0.2">
      <c r="B5" s="18"/>
    </row>
    <row r="6" spans="2:22" s="96" customFormat="1" ht="31" thickBot="1" x14ac:dyDescent="0.2">
      <c r="B6" s="280" t="s">
        <v>148</v>
      </c>
      <c r="C6" s="247"/>
      <c r="D6" s="247"/>
      <c r="E6" s="281" t="s">
        <v>146</v>
      </c>
      <c r="F6" s="282" t="s">
        <v>127</v>
      </c>
      <c r="G6" s="283" t="s">
        <v>147</v>
      </c>
      <c r="H6" s="282" t="s">
        <v>146</v>
      </c>
      <c r="I6" s="282" t="s">
        <v>127</v>
      </c>
      <c r="J6" s="282" t="s">
        <v>147</v>
      </c>
      <c r="K6" s="282" t="s">
        <v>146</v>
      </c>
      <c r="L6" s="282" t="s">
        <v>127</v>
      </c>
      <c r="M6" s="282" t="s">
        <v>147</v>
      </c>
      <c r="N6" s="282" t="s">
        <v>146</v>
      </c>
      <c r="O6" s="282" t="s">
        <v>127</v>
      </c>
      <c r="P6" s="282" t="s">
        <v>147</v>
      </c>
      <c r="Q6" s="282" t="s">
        <v>146</v>
      </c>
      <c r="R6" s="282" t="s">
        <v>127</v>
      </c>
      <c r="S6" s="282" t="s">
        <v>147</v>
      </c>
      <c r="T6" s="282" t="s">
        <v>146</v>
      </c>
      <c r="U6" s="282" t="s">
        <v>127</v>
      </c>
      <c r="V6" s="283" t="s">
        <v>147</v>
      </c>
    </row>
    <row r="7" spans="2:22" x14ac:dyDescent="0.15">
      <c r="B7" s="261" t="s">
        <v>128</v>
      </c>
      <c r="C7" s="262"/>
      <c r="D7" s="262"/>
      <c r="E7" s="263">
        <v>0</v>
      </c>
      <c r="F7" s="264">
        <v>1300</v>
      </c>
      <c r="G7" s="265">
        <f>E7*F7</f>
        <v>0</v>
      </c>
      <c r="H7" s="266">
        <v>12</v>
      </c>
      <c r="I7" s="267">
        <f t="shared" ref="I7:I17" si="0">F7+($D$4*F7)</f>
        <v>1430</v>
      </c>
      <c r="J7" s="268">
        <f>H7*I7</f>
        <v>17160</v>
      </c>
      <c r="K7" s="263">
        <v>12</v>
      </c>
      <c r="L7" s="269">
        <f t="shared" ref="L7:L17" si="1">I7+($D$4*I7)</f>
        <v>1573</v>
      </c>
      <c r="M7" s="265">
        <f>K7*L7</f>
        <v>18876</v>
      </c>
      <c r="N7" s="263">
        <v>12</v>
      </c>
      <c r="O7" s="269">
        <f t="shared" ref="O7:O17" si="2">L7+($D$4*L7)</f>
        <v>1730.3</v>
      </c>
      <c r="P7" s="265">
        <f>N7*O7</f>
        <v>20763.599999999999</v>
      </c>
      <c r="Q7" s="263">
        <v>12</v>
      </c>
      <c r="R7" s="269">
        <f t="shared" ref="R7:R17" si="3">O7+($D$4*O7)</f>
        <v>1903.33</v>
      </c>
      <c r="S7" s="265">
        <f>Q7*R7</f>
        <v>22839.96</v>
      </c>
      <c r="T7" s="263">
        <v>12</v>
      </c>
      <c r="U7" s="269">
        <f t="shared" ref="U7:U17" si="4">R7+($D$4*R7)</f>
        <v>2093.663</v>
      </c>
      <c r="V7" s="265">
        <f>T7*U7</f>
        <v>25123.955999999998</v>
      </c>
    </row>
    <row r="8" spans="2:22" x14ac:dyDescent="0.15">
      <c r="B8" s="255" t="s">
        <v>129</v>
      </c>
      <c r="C8" s="256"/>
      <c r="D8" s="256"/>
      <c r="E8" s="257"/>
      <c r="F8" s="258">
        <v>1000</v>
      </c>
      <c r="G8" s="259">
        <f t="shared" ref="G8:G17" si="5">E8*F8</f>
        <v>0</v>
      </c>
      <c r="H8" s="256">
        <v>6</v>
      </c>
      <c r="I8" s="260">
        <f t="shared" si="0"/>
        <v>1100</v>
      </c>
      <c r="J8" s="259">
        <f t="shared" ref="J8:J17" si="6">H8*I8</f>
        <v>6600</v>
      </c>
      <c r="K8" s="257">
        <v>12</v>
      </c>
      <c r="L8" s="260">
        <f t="shared" si="1"/>
        <v>1210</v>
      </c>
      <c r="M8" s="259">
        <f t="shared" ref="M8:M17" si="7">K8*L8</f>
        <v>14520</v>
      </c>
      <c r="N8" s="257">
        <v>12</v>
      </c>
      <c r="O8" s="260">
        <f t="shared" si="2"/>
        <v>1331</v>
      </c>
      <c r="P8" s="259">
        <f t="shared" ref="P8:P17" si="8">N8*O8</f>
        <v>15972</v>
      </c>
      <c r="Q8" s="257">
        <v>12</v>
      </c>
      <c r="R8" s="260">
        <f t="shared" si="3"/>
        <v>1464.1</v>
      </c>
      <c r="S8" s="259">
        <f t="shared" ref="S8:S17" si="9">Q8*R8</f>
        <v>17569.199999999997</v>
      </c>
      <c r="T8" s="257">
        <v>12</v>
      </c>
      <c r="U8" s="260">
        <f t="shared" si="4"/>
        <v>1610.51</v>
      </c>
      <c r="V8" s="259">
        <f t="shared" ref="V8:V17" si="10">T8*U8</f>
        <v>19326.12</v>
      </c>
    </row>
    <row r="9" spans="2:22" x14ac:dyDescent="0.15">
      <c r="B9" s="261" t="s">
        <v>130</v>
      </c>
      <c r="C9" s="262"/>
      <c r="D9" s="262"/>
      <c r="E9" s="263"/>
      <c r="F9" s="264">
        <v>750</v>
      </c>
      <c r="G9" s="265">
        <f t="shared" si="5"/>
        <v>0</v>
      </c>
      <c r="H9" s="262">
        <v>6</v>
      </c>
      <c r="I9" s="269">
        <f t="shared" si="0"/>
        <v>825</v>
      </c>
      <c r="J9" s="265">
        <f t="shared" si="6"/>
        <v>4950</v>
      </c>
      <c r="K9" s="263">
        <v>12</v>
      </c>
      <c r="L9" s="269">
        <f t="shared" si="1"/>
        <v>907.5</v>
      </c>
      <c r="M9" s="265">
        <f t="shared" si="7"/>
        <v>10890</v>
      </c>
      <c r="N9" s="263">
        <v>12</v>
      </c>
      <c r="O9" s="269">
        <f t="shared" si="2"/>
        <v>998.25</v>
      </c>
      <c r="P9" s="265">
        <f t="shared" si="8"/>
        <v>11979</v>
      </c>
      <c r="Q9" s="263">
        <v>12</v>
      </c>
      <c r="R9" s="269">
        <f t="shared" si="3"/>
        <v>1098.075</v>
      </c>
      <c r="S9" s="265">
        <f t="shared" si="9"/>
        <v>13176.900000000001</v>
      </c>
      <c r="T9" s="263">
        <v>12</v>
      </c>
      <c r="U9" s="269">
        <f t="shared" si="4"/>
        <v>1207.8825000000002</v>
      </c>
      <c r="V9" s="265">
        <f t="shared" si="10"/>
        <v>14494.590000000002</v>
      </c>
    </row>
    <row r="10" spans="2:22" x14ac:dyDescent="0.15">
      <c r="B10" s="255" t="s">
        <v>131</v>
      </c>
      <c r="C10" s="256"/>
      <c r="D10" s="256"/>
      <c r="E10" s="257"/>
      <c r="F10" s="258">
        <v>600</v>
      </c>
      <c r="G10" s="259">
        <f t="shared" si="5"/>
        <v>0</v>
      </c>
      <c r="H10" s="256">
        <v>6</v>
      </c>
      <c r="I10" s="260">
        <f t="shared" si="0"/>
        <v>660</v>
      </c>
      <c r="J10" s="259">
        <f t="shared" si="6"/>
        <v>3960</v>
      </c>
      <c r="K10" s="257">
        <v>12</v>
      </c>
      <c r="L10" s="260">
        <f t="shared" si="1"/>
        <v>726</v>
      </c>
      <c r="M10" s="259">
        <f t="shared" si="7"/>
        <v>8712</v>
      </c>
      <c r="N10" s="257">
        <v>12</v>
      </c>
      <c r="O10" s="260">
        <f t="shared" si="2"/>
        <v>798.6</v>
      </c>
      <c r="P10" s="259">
        <f t="shared" si="8"/>
        <v>9583.2000000000007</v>
      </c>
      <c r="Q10" s="257">
        <v>12</v>
      </c>
      <c r="R10" s="260">
        <f t="shared" si="3"/>
        <v>878.46</v>
      </c>
      <c r="S10" s="259">
        <f t="shared" si="9"/>
        <v>10541.52</v>
      </c>
      <c r="T10" s="257">
        <v>12</v>
      </c>
      <c r="U10" s="260">
        <f t="shared" si="4"/>
        <v>966.30600000000004</v>
      </c>
      <c r="V10" s="259">
        <f t="shared" si="10"/>
        <v>11595.672</v>
      </c>
    </row>
    <row r="11" spans="2:22" x14ac:dyDescent="0.15">
      <c r="B11" s="261" t="s">
        <v>132</v>
      </c>
      <c r="C11" s="262"/>
      <c r="D11" s="262"/>
      <c r="E11" s="263">
        <v>0</v>
      </c>
      <c r="F11" s="264">
        <v>750</v>
      </c>
      <c r="G11" s="265">
        <f t="shared" si="5"/>
        <v>0</v>
      </c>
      <c r="H11" s="262">
        <v>12</v>
      </c>
      <c r="I11" s="269">
        <f t="shared" si="0"/>
        <v>825</v>
      </c>
      <c r="J11" s="265">
        <f t="shared" si="6"/>
        <v>9900</v>
      </c>
      <c r="K11" s="263">
        <v>12</v>
      </c>
      <c r="L11" s="269">
        <f t="shared" si="1"/>
        <v>907.5</v>
      </c>
      <c r="M11" s="265">
        <f t="shared" si="7"/>
        <v>10890</v>
      </c>
      <c r="N11" s="263">
        <v>12</v>
      </c>
      <c r="O11" s="269">
        <f t="shared" si="2"/>
        <v>998.25</v>
      </c>
      <c r="P11" s="265">
        <f t="shared" si="8"/>
        <v>11979</v>
      </c>
      <c r="Q11" s="263">
        <v>12</v>
      </c>
      <c r="R11" s="269">
        <f t="shared" si="3"/>
        <v>1098.075</v>
      </c>
      <c r="S11" s="265">
        <f t="shared" si="9"/>
        <v>13176.900000000001</v>
      </c>
      <c r="T11" s="263">
        <v>12</v>
      </c>
      <c r="U11" s="269">
        <f t="shared" si="4"/>
        <v>1207.8825000000002</v>
      </c>
      <c r="V11" s="265">
        <f t="shared" si="10"/>
        <v>14494.590000000002</v>
      </c>
    </row>
    <row r="12" spans="2:22" x14ac:dyDescent="0.15">
      <c r="B12" s="255" t="s">
        <v>133</v>
      </c>
      <c r="C12" s="256"/>
      <c r="D12" s="256"/>
      <c r="E12" s="257"/>
      <c r="F12" s="258">
        <v>400</v>
      </c>
      <c r="G12" s="259">
        <f t="shared" si="5"/>
        <v>0</v>
      </c>
      <c r="H12" s="256">
        <v>6</v>
      </c>
      <c r="I12" s="260">
        <f t="shared" si="0"/>
        <v>440</v>
      </c>
      <c r="J12" s="259">
        <f t="shared" si="6"/>
        <v>2640</v>
      </c>
      <c r="K12" s="257">
        <v>12</v>
      </c>
      <c r="L12" s="260">
        <f t="shared" si="1"/>
        <v>484</v>
      </c>
      <c r="M12" s="259">
        <f t="shared" si="7"/>
        <v>5808</v>
      </c>
      <c r="N12" s="257">
        <v>12</v>
      </c>
      <c r="O12" s="260">
        <f t="shared" si="2"/>
        <v>532.4</v>
      </c>
      <c r="P12" s="259">
        <f t="shared" si="8"/>
        <v>6388.7999999999993</v>
      </c>
      <c r="Q12" s="257">
        <v>12</v>
      </c>
      <c r="R12" s="260">
        <f t="shared" si="3"/>
        <v>585.64</v>
      </c>
      <c r="S12" s="259">
        <f t="shared" si="9"/>
        <v>7027.68</v>
      </c>
      <c r="T12" s="257">
        <v>12</v>
      </c>
      <c r="U12" s="260">
        <f t="shared" si="4"/>
        <v>644.20399999999995</v>
      </c>
      <c r="V12" s="259">
        <f t="shared" si="10"/>
        <v>7730.4479999999994</v>
      </c>
    </row>
    <row r="13" spans="2:22" x14ac:dyDescent="0.15">
      <c r="B13" s="261" t="s">
        <v>134</v>
      </c>
      <c r="C13" s="262"/>
      <c r="D13" s="262"/>
      <c r="E13" s="263"/>
      <c r="F13" s="264">
        <v>300</v>
      </c>
      <c r="G13" s="265">
        <f t="shared" si="5"/>
        <v>0</v>
      </c>
      <c r="H13" s="262">
        <v>6</v>
      </c>
      <c r="I13" s="269">
        <f t="shared" si="0"/>
        <v>330</v>
      </c>
      <c r="J13" s="265">
        <f t="shared" si="6"/>
        <v>1980</v>
      </c>
      <c r="K13" s="263">
        <v>12</v>
      </c>
      <c r="L13" s="269">
        <f t="shared" si="1"/>
        <v>363</v>
      </c>
      <c r="M13" s="265">
        <f t="shared" si="7"/>
        <v>4356</v>
      </c>
      <c r="N13" s="263">
        <v>12</v>
      </c>
      <c r="O13" s="269">
        <f t="shared" si="2"/>
        <v>399.3</v>
      </c>
      <c r="P13" s="265">
        <f t="shared" si="8"/>
        <v>4791.6000000000004</v>
      </c>
      <c r="Q13" s="263">
        <v>12</v>
      </c>
      <c r="R13" s="269">
        <f t="shared" si="3"/>
        <v>439.23</v>
      </c>
      <c r="S13" s="265">
        <f t="shared" si="9"/>
        <v>5270.76</v>
      </c>
      <c r="T13" s="263">
        <v>12</v>
      </c>
      <c r="U13" s="269">
        <f t="shared" si="4"/>
        <v>483.15300000000002</v>
      </c>
      <c r="V13" s="265">
        <f t="shared" si="10"/>
        <v>5797.8360000000002</v>
      </c>
    </row>
    <row r="14" spans="2:22" x14ac:dyDescent="0.15">
      <c r="B14" s="255" t="s">
        <v>135</v>
      </c>
      <c r="C14" s="256"/>
      <c r="D14" s="256"/>
      <c r="E14" s="257"/>
      <c r="F14" s="258">
        <v>170</v>
      </c>
      <c r="G14" s="259">
        <f t="shared" si="5"/>
        <v>0</v>
      </c>
      <c r="H14" s="256">
        <v>9</v>
      </c>
      <c r="I14" s="260">
        <f t="shared" si="0"/>
        <v>187</v>
      </c>
      <c r="J14" s="259">
        <f t="shared" si="6"/>
        <v>1683</v>
      </c>
      <c r="K14" s="257">
        <v>12</v>
      </c>
      <c r="L14" s="260">
        <f t="shared" si="1"/>
        <v>205.7</v>
      </c>
      <c r="M14" s="259">
        <f t="shared" si="7"/>
        <v>2468.3999999999996</v>
      </c>
      <c r="N14" s="257">
        <v>12</v>
      </c>
      <c r="O14" s="260">
        <f t="shared" si="2"/>
        <v>226.26999999999998</v>
      </c>
      <c r="P14" s="259">
        <f t="shared" si="8"/>
        <v>2715.24</v>
      </c>
      <c r="Q14" s="257">
        <v>12</v>
      </c>
      <c r="R14" s="260">
        <f t="shared" si="3"/>
        <v>248.89699999999999</v>
      </c>
      <c r="S14" s="259">
        <f t="shared" si="9"/>
        <v>2986.7640000000001</v>
      </c>
      <c r="T14" s="257">
        <v>12</v>
      </c>
      <c r="U14" s="260">
        <f t="shared" si="4"/>
        <v>273.7867</v>
      </c>
      <c r="V14" s="259">
        <f t="shared" si="10"/>
        <v>3285.4404</v>
      </c>
    </row>
    <row r="15" spans="2:22" x14ac:dyDescent="0.15">
      <c r="B15" s="261" t="s">
        <v>136</v>
      </c>
      <c r="C15" s="262"/>
      <c r="D15" s="262"/>
      <c r="E15" s="263"/>
      <c r="F15" s="264">
        <v>120</v>
      </c>
      <c r="G15" s="265">
        <f t="shared" si="5"/>
        <v>0</v>
      </c>
      <c r="H15" s="262">
        <v>9</v>
      </c>
      <c r="I15" s="269">
        <f t="shared" si="0"/>
        <v>132</v>
      </c>
      <c r="J15" s="265">
        <f t="shared" si="6"/>
        <v>1188</v>
      </c>
      <c r="K15" s="263">
        <v>12</v>
      </c>
      <c r="L15" s="269">
        <f t="shared" si="1"/>
        <v>145.19999999999999</v>
      </c>
      <c r="M15" s="265">
        <f t="shared" si="7"/>
        <v>1742.3999999999999</v>
      </c>
      <c r="N15" s="263">
        <v>12</v>
      </c>
      <c r="O15" s="269">
        <f t="shared" si="2"/>
        <v>159.72</v>
      </c>
      <c r="P15" s="265">
        <f t="shared" si="8"/>
        <v>1916.6399999999999</v>
      </c>
      <c r="Q15" s="263">
        <v>12</v>
      </c>
      <c r="R15" s="269">
        <f t="shared" si="3"/>
        <v>175.69200000000001</v>
      </c>
      <c r="S15" s="265">
        <f t="shared" si="9"/>
        <v>2108.3040000000001</v>
      </c>
      <c r="T15" s="263">
        <v>12</v>
      </c>
      <c r="U15" s="269">
        <f t="shared" si="4"/>
        <v>193.2612</v>
      </c>
      <c r="V15" s="265">
        <f t="shared" si="10"/>
        <v>2319.1343999999999</v>
      </c>
    </row>
    <row r="16" spans="2:22" x14ac:dyDescent="0.15">
      <c r="B16" s="255" t="s">
        <v>137</v>
      </c>
      <c r="C16" s="256"/>
      <c r="D16" s="256"/>
      <c r="E16" s="257"/>
      <c r="F16" s="258">
        <v>70</v>
      </c>
      <c r="G16" s="259">
        <f t="shared" si="5"/>
        <v>0</v>
      </c>
      <c r="H16" s="256">
        <v>9</v>
      </c>
      <c r="I16" s="260">
        <f t="shared" si="0"/>
        <v>77</v>
      </c>
      <c r="J16" s="259">
        <f t="shared" si="6"/>
        <v>693</v>
      </c>
      <c r="K16" s="257">
        <v>12</v>
      </c>
      <c r="L16" s="260">
        <f t="shared" si="1"/>
        <v>84.7</v>
      </c>
      <c r="M16" s="259">
        <f t="shared" si="7"/>
        <v>1016.4000000000001</v>
      </c>
      <c r="N16" s="257">
        <v>12</v>
      </c>
      <c r="O16" s="260">
        <f t="shared" si="2"/>
        <v>93.17</v>
      </c>
      <c r="P16" s="259">
        <f t="shared" si="8"/>
        <v>1118.04</v>
      </c>
      <c r="Q16" s="257">
        <v>12</v>
      </c>
      <c r="R16" s="260">
        <f t="shared" si="3"/>
        <v>102.48699999999999</v>
      </c>
      <c r="S16" s="259">
        <f t="shared" si="9"/>
        <v>1229.8440000000001</v>
      </c>
      <c r="T16" s="257">
        <v>12</v>
      </c>
      <c r="U16" s="260">
        <f t="shared" si="4"/>
        <v>112.73569999999999</v>
      </c>
      <c r="V16" s="259">
        <f t="shared" si="10"/>
        <v>1352.8283999999999</v>
      </c>
    </row>
    <row r="17" spans="2:22" ht="15" thickBot="1" x14ac:dyDescent="0.2">
      <c r="B17" s="261" t="s">
        <v>138</v>
      </c>
      <c r="C17" s="262"/>
      <c r="D17" s="262"/>
      <c r="E17" s="263"/>
      <c r="F17" s="264">
        <v>60</v>
      </c>
      <c r="G17" s="265">
        <f t="shared" si="5"/>
        <v>0</v>
      </c>
      <c r="H17" s="270">
        <v>9</v>
      </c>
      <c r="I17" s="271">
        <f t="shared" si="0"/>
        <v>66</v>
      </c>
      <c r="J17" s="272">
        <f t="shared" si="6"/>
        <v>594</v>
      </c>
      <c r="K17" s="263">
        <v>12</v>
      </c>
      <c r="L17" s="269">
        <f t="shared" si="1"/>
        <v>72.599999999999994</v>
      </c>
      <c r="M17" s="265">
        <f t="shared" si="7"/>
        <v>871.19999999999993</v>
      </c>
      <c r="N17" s="263">
        <v>12</v>
      </c>
      <c r="O17" s="269">
        <f t="shared" si="2"/>
        <v>79.86</v>
      </c>
      <c r="P17" s="265">
        <f t="shared" si="8"/>
        <v>958.31999999999994</v>
      </c>
      <c r="Q17" s="263">
        <v>12</v>
      </c>
      <c r="R17" s="269">
        <f t="shared" si="3"/>
        <v>87.846000000000004</v>
      </c>
      <c r="S17" s="265">
        <f t="shared" si="9"/>
        <v>1054.152</v>
      </c>
      <c r="T17" s="263">
        <v>12</v>
      </c>
      <c r="U17" s="269">
        <f t="shared" si="4"/>
        <v>96.630600000000001</v>
      </c>
      <c r="V17" s="265">
        <f t="shared" si="10"/>
        <v>1159.5672</v>
      </c>
    </row>
    <row r="18" spans="2:22" ht="15" thickBot="1" x14ac:dyDescent="0.2">
      <c r="B18" s="249" t="s">
        <v>150</v>
      </c>
      <c r="C18" s="250"/>
      <c r="D18" s="250"/>
      <c r="E18" s="251"/>
      <c r="F18" s="252"/>
      <c r="G18" s="253">
        <f>SUM(G7:G17)</f>
        <v>0</v>
      </c>
      <c r="H18" s="250"/>
      <c r="I18" s="250"/>
      <c r="J18" s="254">
        <f>SUM(J7:J17)</f>
        <v>51348</v>
      </c>
      <c r="K18" s="250"/>
      <c r="L18" s="250"/>
      <c r="M18" s="254">
        <f>SUM(M7:M17)</f>
        <v>80150.39999999998</v>
      </c>
      <c r="N18" s="250"/>
      <c r="O18" s="250"/>
      <c r="P18" s="254">
        <f>SUM(P7:P17)</f>
        <v>88165.440000000017</v>
      </c>
      <c r="Q18" s="250"/>
      <c r="R18" s="250"/>
      <c r="S18" s="254">
        <f>SUM(S7:S17)</f>
        <v>96981.983999999997</v>
      </c>
      <c r="T18" s="250"/>
      <c r="U18" s="250"/>
      <c r="V18" s="253">
        <f>SUM(V7:V17)</f>
        <v>106680.18240000001</v>
      </c>
    </row>
    <row r="19" spans="2:22" x14ac:dyDescent="0.15">
      <c r="E19" s="248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2:22" ht="15" thickBot="1" x14ac:dyDescent="0.2"/>
    <row r="21" spans="2:22" s="96" customFormat="1" ht="31" thickBot="1" x14ac:dyDescent="0.2">
      <c r="B21" s="93" t="s">
        <v>149</v>
      </c>
      <c r="C21" s="94"/>
      <c r="D21" s="279"/>
      <c r="E21" s="92" t="s">
        <v>71</v>
      </c>
      <c r="F21" s="88" t="s">
        <v>77</v>
      </c>
      <c r="G21" s="89" t="s">
        <v>79</v>
      </c>
      <c r="H21" s="92" t="s">
        <v>71</v>
      </c>
      <c r="I21" s="88" t="s">
        <v>77</v>
      </c>
      <c r="J21" s="89" t="s">
        <v>79</v>
      </c>
      <c r="K21" s="92" t="s">
        <v>71</v>
      </c>
      <c r="L21" s="88" t="s">
        <v>77</v>
      </c>
      <c r="M21" s="89" t="s">
        <v>79</v>
      </c>
      <c r="N21" s="92" t="s">
        <v>71</v>
      </c>
      <c r="O21" s="88" t="s">
        <v>77</v>
      </c>
      <c r="P21" s="89" t="s">
        <v>79</v>
      </c>
      <c r="Q21" s="92" t="s">
        <v>71</v>
      </c>
      <c r="R21" s="88" t="s">
        <v>77</v>
      </c>
      <c r="S21" s="89" t="s">
        <v>79</v>
      </c>
      <c r="T21" s="92" t="s">
        <v>71</v>
      </c>
      <c r="U21" s="88" t="s">
        <v>77</v>
      </c>
      <c r="V21" s="89" t="s">
        <v>79</v>
      </c>
    </row>
    <row r="22" spans="2:22" ht="30" x14ac:dyDescent="0.15">
      <c r="B22" s="35" t="s">
        <v>23</v>
      </c>
      <c r="C22" s="23" t="s">
        <v>30</v>
      </c>
      <c r="D22" s="273"/>
      <c r="E22" s="274"/>
      <c r="F22" s="274"/>
      <c r="G22" s="273"/>
      <c r="H22" s="317">
        <v>0.5</v>
      </c>
      <c r="I22" s="232">
        <f>Assumptions!C26</f>
        <v>200</v>
      </c>
      <c r="J22" s="83">
        <f>H22*I22*6/Assumptions!$C$29</f>
        <v>600</v>
      </c>
      <c r="K22" s="317">
        <v>1</v>
      </c>
      <c r="L22" s="44">
        <f>I22*(1+Assumptions!$C$30)</f>
        <v>210</v>
      </c>
      <c r="M22" s="83">
        <f>K22*L22*12/Assumptions!$C$29</f>
        <v>2520</v>
      </c>
      <c r="N22" s="317">
        <f>K22</f>
        <v>1</v>
      </c>
      <c r="O22" s="44">
        <f>L22*(1+Assumptions!$C$30)</f>
        <v>220.5</v>
      </c>
      <c r="P22" s="83">
        <f>N22*O22*12/Assumptions!$C$29</f>
        <v>2646</v>
      </c>
      <c r="Q22" s="321">
        <f>N22</f>
        <v>1</v>
      </c>
      <c r="R22" s="44">
        <f>O22*(1+Assumptions!$C$30)</f>
        <v>231.52500000000001</v>
      </c>
      <c r="S22" s="83">
        <f>Q22*R22*12/Assumptions!$C$29</f>
        <v>2778.3</v>
      </c>
      <c r="T22" s="317">
        <f>Q22</f>
        <v>1</v>
      </c>
      <c r="U22" s="44">
        <f>R22*(1+Assumptions!$C$30)</f>
        <v>243.10125000000002</v>
      </c>
      <c r="V22" s="83">
        <f>T22*U22*12/Assumptions!$C$29</f>
        <v>2917.2150000000001</v>
      </c>
    </row>
    <row r="23" spans="2:22" s="47" customFormat="1" ht="15" x14ac:dyDescent="0.15">
      <c r="B23" s="40" t="s">
        <v>26</v>
      </c>
      <c r="C23" s="27" t="s">
        <v>30</v>
      </c>
      <c r="D23" s="276"/>
      <c r="E23" s="277"/>
      <c r="F23" s="277"/>
      <c r="G23" s="276"/>
      <c r="H23" s="318">
        <v>1</v>
      </c>
      <c r="I23" s="231">
        <f>Assumptions!C22</f>
        <v>420</v>
      </c>
      <c r="J23" s="85">
        <f>H23*I23*6/Assumptions!$C$29</f>
        <v>2520</v>
      </c>
      <c r="K23" s="318">
        <f>'Financial model (Detail)'!K76/4</f>
        <v>0</v>
      </c>
      <c r="L23" s="42">
        <f>I23*(1+Assumptions!$C$30)</f>
        <v>441</v>
      </c>
      <c r="M23" s="85">
        <f>K23*L23*12/Assumptions!$C$29</f>
        <v>0</v>
      </c>
      <c r="N23" s="318">
        <f>'Financial model (Detail)'!N76/4</f>
        <v>0</v>
      </c>
      <c r="O23" s="42">
        <f>L23*(1+Assumptions!$C$30)</f>
        <v>463.05</v>
      </c>
      <c r="P23" s="85">
        <f>N23*O23*12/Assumptions!$C$29</f>
        <v>0</v>
      </c>
      <c r="Q23" s="322">
        <f>'Financial model (Detail)'!Q76/4</f>
        <v>0</v>
      </c>
      <c r="R23" s="42">
        <f>O23*(1+Assumptions!$C$30)</f>
        <v>486.20250000000004</v>
      </c>
      <c r="S23" s="85">
        <f>Q23*R23*12/Assumptions!$C$29</f>
        <v>0</v>
      </c>
      <c r="T23" s="318">
        <f>'Financial model (Detail)'!T76/4</f>
        <v>0</v>
      </c>
      <c r="U23" s="42">
        <f>R23*(1+Assumptions!$C$30)</f>
        <v>510.51262500000007</v>
      </c>
      <c r="V23" s="85">
        <f>T23*U23*12/Assumptions!$C$29</f>
        <v>0</v>
      </c>
    </row>
    <row r="24" spans="2:22" s="47" customFormat="1" ht="30" x14ac:dyDescent="0.15">
      <c r="B24" s="35" t="s">
        <v>29</v>
      </c>
      <c r="C24" s="23" t="s">
        <v>30</v>
      </c>
      <c r="D24" s="273"/>
      <c r="E24" s="275"/>
      <c r="F24" s="275"/>
      <c r="G24" s="273"/>
      <c r="H24" s="319">
        <v>1</v>
      </c>
      <c r="I24" s="232">
        <f>Assumptions!C23</f>
        <v>100</v>
      </c>
      <c r="J24" s="83">
        <f>H24*I24*6/Assumptions!$C$29</f>
        <v>600</v>
      </c>
      <c r="K24" s="319">
        <f>'Financial model (Detail)'!K76/10</f>
        <v>0</v>
      </c>
      <c r="L24" s="44">
        <f>I24*(1+Assumptions!$C$30)</f>
        <v>105</v>
      </c>
      <c r="M24" s="83">
        <f>K24*L24*12/Assumptions!$C$29</f>
        <v>0</v>
      </c>
      <c r="N24" s="319">
        <f>'Financial model (Detail)'!N76/10</f>
        <v>0</v>
      </c>
      <c r="O24" s="44">
        <f>L24*(1+Assumptions!$C$30)</f>
        <v>110.25</v>
      </c>
      <c r="P24" s="83">
        <f>N24*O24*12/Assumptions!$C$29</f>
        <v>0</v>
      </c>
      <c r="Q24" s="323">
        <f>'Financial model (Detail)'!Q76/10</f>
        <v>0</v>
      </c>
      <c r="R24" s="44">
        <f>O24*(1+Assumptions!$C$30)</f>
        <v>115.7625</v>
      </c>
      <c r="S24" s="83">
        <f>Q24*R24*12/Assumptions!$C$29</f>
        <v>0</v>
      </c>
      <c r="T24" s="319">
        <f>'Financial model (Detail)'!T76/10</f>
        <v>0</v>
      </c>
      <c r="U24" s="44">
        <f>R24*(1+Assumptions!$C$30)</f>
        <v>121.55062500000001</v>
      </c>
      <c r="V24" s="83">
        <f>T24*U24*12/Assumptions!$C$29</f>
        <v>0</v>
      </c>
    </row>
    <row r="25" spans="2:22" ht="15" x14ac:dyDescent="0.15">
      <c r="B25" s="40" t="s">
        <v>22</v>
      </c>
      <c r="C25" s="27" t="s">
        <v>30</v>
      </c>
      <c r="D25" s="276"/>
      <c r="E25" s="278"/>
      <c r="F25" s="278"/>
      <c r="G25" s="276"/>
      <c r="H25" s="320">
        <v>1</v>
      </c>
      <c r="I25" s="231">
        <f>Assumptions!C24/12</f>
        <v>20.833333333333332</v>
      </c>
      <c r="J25" s="85">
        <f>H25*I25*6/Assumptions!$C$29</f>
        <v>125</v>
      </c>
      <c r="K25" s="320">
        <f>ROUNDUP(H25*(1+Assumptions!$C$31),0)</f>
        <v>2</v>
      </c>
      <c r="L25" s="42">
        <f>I25*(1+Assumptions!$C$30)</f>
        <v>21.875</v>
      </c>
      <c r="M25" s="85">
        <f>K25*L25*12/Assumptions!$C$29</f>
        <v>525</v>
      </c>
      <c r="N25" s="320">
        <f>ROUNDUP(K25*(1+Assumptions!$C$31),0)</f>
        <v>3</v>
      </c>
      <c r="O25" s="42">
        <f>L25*(1+Assumptions!$C$30)</f>
        <v>22.96875</v>
      </c>
      <c r="P25" s="85">
        <f>N25*O25*12/Assumptions!$C$29</f>
        <v>826.875</v>
      </c>
      <c r="Q25" s="320">
        <f>ROUNDUP(N25*(1+Assumptions!$C$31),0)</f>
        <v>4</v>
      </c>
      <c r="R25" s="42">
        <f>O25*(1+Assumptions!$C$30)</f>
        <v>24.1171875</v>
      </c>
      <c r="S25" s="85">
        <f>Q25*R25*12/Assumptions!$C$29</f>
        <v>1157.625</v>
      </c>
      <c r="T25" s="320">
        <f>ROUNDUP(Q25*(1+Assumptions!$C$31),0)</f>
        <v>5</v>
      </c>
      <c r="U25" s="42">
        <f>R25*(1+Assumptions!$C$30)</f>
        <v>25.323046875000003</v>
      </c>
      <c r="V25" s="85">
        <f>T25*U25*12/Assumptions!$C$29</f>
        <v>1519.3828125000002</v>
      </c>
    </row>
    <row r="26" spans="2:22" s="47" customFormat="1" ht="30" x14ac:dyDescent="0.15">
      <c r="B26" s="35" t="s">
        <v>24</v>
      </c>
      <c r="C26" s="23" t="s">
        <v>30</v>
      </c>
      <c r="D26" s="273"/>
      <c r="E26" s="275"/>
      <c r="F26" s="275"/>
      <c r="G26" s="273"/>
      <c r="H26" s="319">
        <v>1</v>
      </c>
      <c r="I26" s="232">
        <f>Assumptions!C25/12</f>
        <v>41.666666666666664</v>
      </c>
      <c r="J26" s="83">
        <f>H26*I26*12/Assumptions!$C$29</f>
        <v>500</v>
      </c>
      <c r="K26" s="319">
        <f>ROUNDUP(H26*(1+Assumptions!$C$31),0)</f>
        <v>2</v>
      </c>
      <c r="L26" s="44">
        <f>I26*(1+Assumptions!$C$30)</f>
        <v>43.75</v>
      </c>
      <c r="M26" s="83">
        <f>K26*L26*12/Assumptions!$C$29</f>
        <v>1050</v>
      </c>
      <c r="N26" s="319">
        <f>ROUNDUP(K26*(1+Assumptions!$C$31),0)</f>
        <v>3</v>
      </c>
      <c r="O26" s="44">
        <f>L26*(1+Assumptions!$C$30)</f>
        <v>45.9375</v>
      </c>
      <c r="P26" s="83">
        <f>N26*O26*12/Assumptions!$C$29</f>
        <v>1653.75</v>
      </c>
      <c r="Q26" s="319">
        <f>ROUNDUP(N26*(1+Assumptions!$C$31),0)</f>
        <v>4</v>
      </c>
      <c r="R26" s="44">
        <f>O26*(1+Assumptions!$C$30)</f>
        <v>48.234375</v>
      </c>
      <c r="S26" s="83">
        <f>Q26*R26*12/Assumptions!$C$29</f>
        <v>2315.25</v>
      </c>
      <c r="T26" s="319">
        <f>ROUNDUP(Q26*(1+Assumptions!$C$31),0)</f>
        <v>5</v>
      </c>
      <c r="U26" s="44">
        <f>R26*(1+Assumptions!$C$30)</f>
        <v>50.646093750000006</v>
      </c>
      <c r="V26" s="83">
        <f>T26*U26*12/Assumptions!$C$29</f>
        <v>3038.7656250000005</v>
      </c>
    </row>
    <row r="27" spans="2:22" ht="16" thickBot="1" x14ac:dyDescent="0.2">
      <c r="B27" s="40" t="s">
        <v>25</v>
      </c>
      <c r="C27" s="27" t="s">
        <v>30</v>
      </c>
      <c r="D27" s="276"/>
      <c r="E27" s="278"/>
      <c r="F27" s="278"/>
      <c r="G27" s="276"/>
      <c r="H27" s="320">
        <v>1</v>
      </c>
      <c r="I27" s="231">
        <f>Assumptions!C53</f>
        <v>0</v>
      </c>
      <c r="J27" s="85">
        <f>H27*I27*6/Assumptions!$C$29</f>
        <v>0</v>
      </c>
      <c r="K27" s="320">
        <f>H27</f>
        <v>1</v>
      </c>
      <c r="L27" s="42">
        <f>I27*(1+Assumptions!$C$30)</f>
        <v>0</v>
      </c>
      <c r="M27" s="85">
        <f>K27*L27*12/Assumptions!$C$29</f>
        <v>0</v>
      </c>
      <c r="N27" s="320">
        <f>K27</f>
        <v>1</v>
      </c>
      <c r="O27" s="42">
        <f>L27*(1+Assumptions!$C$30)</f>
        <v>0</v>
      </c>
      <c r="P27" s="85">
        <f>N27*O27*12/Assumptions!$C$29</f>
        <v>0</v>
      </c>
      <c r="Q27" s="324">
        <f>N27</f>
        <v>1</v>
      </c>
      <c r="R27" s="42">
        <f>O27*(1+Assumptions!$C$30)</f>
        <v>0</v>
      </c>
      <c r="S27" s="85">
        <f>Q27*R27*12/Assumptions!$C$29</f>
        <v>0</v>
      </c>
      <c r="T27" s="320">
        <f>Q27</f>
        <v>1</v>
      </c>
      <c r="U27" s="42">
        <f>R27*(1+Assumptions!$C$30)</f>
        <v>0</v>
      </c>
      <c r="V27" s="85">
        <f>T27*U27*12/Assumptions!$C$29</f>
        <v>0</v>
      </c>
    </row>
    <row r="28" spans="2:22" ht="15" thickBot="1" x14ac:dyDescent="0.2">
      <c r="B28" s="249" t="s">
        <v>68</v>
      </c>
      <c r="C28" s="29"/>
      <c r="D28" s="34"/>
      <c r="E28" s="284"/>
      <c r="F28" s="285"/>
      <c r="G28" s="286"/>
      <c r="H28" s="32"/>
      <c r="I28" s="50"/>
      <c r="J28" s="90">
        <f>SUM(J22:J27)</f>
        <v>4345</v>
      </c>
      <c r="K28" s="32"/>
      <c r="L28" s="29"/>
      <c r="M28" s="90">
        <f>SUM(M22:M27)</f>
        <v>4095</v>
      </c>
      <c r="N28" s="32"/>
      <c r="O28" s="29"/>
      <c r="P28" s="90">
        <f>SUM(P22:P27)</f>
        <v>5126.625</v>
      </c>
      <c r="Q28" s="29"/>
      <c r="R28" s="29"/>
      <c r="S28" s="90">
        <f>SUM(S22:S27)</f>
        <v>6251.1750000000002</v>
      </c>
      <c r="T28" s="29"/>
      <c r="U28" s="29"/>
      <c r="V28" s="90">
        <f>SUM(V22:V27)</f>
        <v>7475.3634375000001</v>
      </c>
    </row>
    <row r="30" spans="2:22" ht="15" thickBot="1" x14ac:dyDescent="0.2"/>
    <row r="31" spans="2:22" ht="15" thickBot="1" x14ac:dyDescent="0.2">
      <c r="B31" s="19" t="s">
        <v>151</v>
      </c>
      <c r="C31" s="287"/>
      <c r="D31" s="287"/>
      <c r="E31" s="290"/>
      <c r="F31" s="287"/>
      <c r="G31" s="289">
        <f>SUM(G18,G28)</f>
        <v>0</v>
      </c>
      <c r="H31" s="287"/>
      <c r="I31" s="287"/>
      <c r="J31" s="288">
        <f>SUM(J18,J28)</f>
        <v>55693</v>
      </c>
      <c r="K31" s="290"/>
      <c r="L31" s="287"/>
      <c r="M31" s="289">
        <f>SUM(M18,M28)</f>
        <v>84245.39999999998</v>
      </c>
      <c r="N31" s="287"/>
      <c r="O31" s="287"/>
      <c r="P31" s="288">
        <f>SUM(P18,P28)</f>
        <v>93292.065000000017</v>
      </c>
      <c r="Q31" s="290"/>
      <c r="R31" s="287"/>
      <c r="S31" s="289">
        <f>SUM(S18,S28)</f>
        <v>103233.159</v>
      </c>
      <c r="T31" s="287"/>
      <c r="U31" s="287"/>
      <c r="V31" s="289">
        <f>SUM(V18,V28)</f>
        <v>114155.5458375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Financial model (Summary)</vt:lpstr>
      <vt:lpstr>Financial model (Detail)</vt:lpstr>
      <vt:lpstr>Assumptions</vt:lpstr>
      <vt:lpstr>Fixed costs</vt:lpstr>
      <vt:lpstr>Chart - cashflow</vt:lpstr>
      <vt:lpstr>Chart - Cumulative 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Gus Le Breton</cp:lastModifiedBy>
  <dcterms:created xsi:type="dcterms:W3CDTF">2021-04-01T07:37:40Z</dcterms:created>
  <dcterms:modified xsi:type="dcterms:W3CDTF">2022-08-11T06:41:25Z</dcterms:modified>
</cp:coreProperties>
</file>