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BR\_JannikevanBruggen\BAOQUALITY\Work\WP5\TransferKilifi\Pilot_Plant\"/>
    </mc:Choice>
  </mc:AlternateContent>
  <xr:revisionPtr revIDLastSave="0" documentId="13_ncr:1_{1A32CFFE-0EB8-4BA5-B78D-8FA7352EF0B9}" xr6:coauthVersionLast="36" xr6:coauthVersionMax="36" xr10:uidLastSave="{00000000-0000-0000-0000-000000000000}"/>
  <bookViews>
    <workbookView xWindow="32770" yWindow="32770" windowWidth="19200" windowHeight="6930" tabRatio="500" firstSheet="1" activeTab="1" xr2:uid="{00000000-000D-0000-FFFF-FFFF00000000}"/>
  </bookViews>
  <sheets>
    <sheet name="1. Balance Sheet" sheetId="9" r:id="rId1"/>
    <sheet name="2. Income Statement" sheetId="8" r:id="rId2"/>
    <sheet name="3. Cash Flows" sheetId="7" r:id="rId3"/>
    <sheet name="4. Revenues" sheetId="6" r:id="rId4"/>
    <sheet name="5. Marketing Costs" sheetId="5" r:id="rId5"/>
    <sheet name="6 Administration costs" sheetId="4" r:id="rId6"/>
    <sheet name="7. Operational costs" sheetId="3" r:id="rId7"/>
    <sheet name="8 Production planning" sheetId="2" r:id="rId8"/>
    <sheet name="9. Investment Equipment" sheetId="10" r:id="rId9"/>
    <sheet name="10. Assumptions" sheetId="1" r:id="rId10"/>
  </sheets>
  <calcPr calcId="191029" concurrentCalc="0"/>
</workbook>
</file>

<file path=xl/calcChain.xml><?xml version="1.0" encoding="utf-8"?>
<calcChain xmlns="http://schemas.openxmlformats.org/spreadsheetml/2006/main">
  <c r="O25" i="1" l="1"/>
  <c r="H17" i="1"/>
  <c r="I17" i="1"/>
  <c r="J17" i="1"/>
  <c r="C5" i="4"/>
  <c r="D14" i="1"/>
  <c r="C10" i="4"/>
  <c r="C6" i="4"/>
  <c r="C7" i="4"/>
  <c r="C9" i="4"/>
  <c r="C8" i="4"/>
  <c r="C16" i="4"/>
  <c r="C17" i="4"/>
  <c r="C15" i="4"/>
  <c r="D4" i="10"/>
  <c r="F29" i="10"/>
  <c r="D5" i="10"/>
  <c r="F30" i="10"/>
  <c r="D6" i="10"/>
  <c r="F31" i="10"/>
  <c r="D9" i="10"/>
  <c r="F34" i="10"/>
  <c r="D10" i="10"/>
  <c r="F35" i="10"/>
  <c r="D11" i="10"/>
  <c r="F36" i="10"/>
  <c r="D12" i="10"/>
  <c r="F37" i="10"/>
  <c r="D13" i="10"/>
  <c r="F38" i="10"/>
  <c r="D14" i="10"/>
  <c r="F39" i="10"/>
  <c r="D15" i="10"/>
  <c r="F40" i="10"/>
  <c r="D16" i="10"/>
  <c r="F41" i="10"/>
  <c r="D17" i="10"/>
  <c r="F42" i="10"/>
  <c r="D18" i="10"/>
  <c r="F43" i="10"/>
  <c r="D19" i="10"/>
  <c r="F44" i="10"/>
  <c r="D20" i="10"/>
  <c r="F45" i="10"/>
  <c r="D21" i="10"/>
  <c r="F46" i="10"/>
  <c r="D22" i="10"/>
  <c r="F47" i="10"/>
  <c r="D23" i="10"/>
  <c r="F48" i="10"/>
  <c r="D24" i="10"/>
  <c r="F49" i="10"/>
  <c r="C7" i="10"/>
  <c r="D7" i="10"/>
  <c r="F32" i="10"/>
  <c r="C8" i="10"/>
  <c r="D8" i="10"/>
  <c r="F33" i="10"/>
  <c r="F51" i="10"/>
  <c r="F52" i="10"/>
  <c r="C14" i="4"/>
  <c r="C11" i="4"/>
  <c r="C12" i="4"/>
  <c r="C22" i="4"/>
  <c r="M158" i="1"/>
  <c r="C13" i="4"/>
  <c r="C23" i="4"/>
  <c r="C24" i="4"/>
  <c r="C25" i="4"/>
  <c r="C27" i="4"/>
  <c r="C6" i="7"/>
  <c r="D28" i="3"/>
  <c r="D33" i="3"/>
  <c r="D34" i="3"/>
  <c r="D36" i="3"/>
  <c r="C8" i="7"/>
  <c r="D41" i="3"/>
  <c r="D49" i="3"/>
  <c r="D50" i="3"/>
  <c r="D52" i="3"/>
  <c r="C9" i="7"/>
  <c r="C7" i="2"/>
  <c r="D5" i="3"/>
  <c r="E89" i="1"/>
  <c r="D6" i="3"/>
  <c r="D7" i="3"/>
  <c r="C7" i="7"/>
  <c r="D13" i="2"/>
  <c r="F6" i="6"/>
  <c r="B6" i="6"/>
  <c r="C6" i="6"/>
  <c r="F15" i="6"/>
  <c r="F7" i="6"/>
  <c r="B7" i="6"/>
  <c r="C7" i="6"/>
  <c r="F16" i="6"/>
  <c r="F8" i="6"/>
  <c r="B8" i="6"/>
  <c r="C8" i="6"/>
  <c r="F17" i="6"/>
  <c r="F9" i="6"/>
  <c r="B9" i="6"/>
  <c r="C9" i="6"/>
  <c r="F18" i="6"/>
  <c r="F20" i="6"/>
  <c r="C13" i="5"/>
  <c r="D19" i="2"/>
  <c r="D21" i="2"/>
  <c r="D23" i="2"/>
  <c r="D30" i="2"/>
  <c r="F24" i="6"/>
  <c r="B24" i="6"/>
  <c r="C24" i="6"/>
  <c r="C32" i="6"/>
  <c r="F32" i="6"/>
  <c r="F25" i="6"/>
  <c r="B25" i="6"/>
  <c r="C25" i="6"/>
  <c r="C33" i="6"/>
  <c r="F33" i="6"/>
  <c r="F26" i="6"/>
  <c r="B26" i="6"/>
  <c r="C26" i="6"/>
  <c r="C34" i="6"/>
  <c r="F34" i="6"/>
  <c r="F27" i="6"/>
  <c r="B27" i="6"/>
  <c r="C27" i="6"/>
  <c r="C35" i="6"/>
  <c r="F35" i="6"/>
  <c r="F28" i="6"/>
  <c r="B28" i="6"/>
  <c r="C28" i="6"/>
  <c r="C36" i="6"/>
  <c r="F36" i="6"/>
  <c r="F29" i="6"/>
  <c r="B29" i="6"/>
  <c r="C29" i="6"/>
  <c r="C37" i="6"/>
  <c r="F37" i="6"/>
  <c r="F39" i="6"/>
  <c r="C14" i="5"/>
  <c r="C17" i="5"/>
  <c r="C8" i="5"/>
  <c r="C9" i="5"/>
  <c r="C10" i="5"/>
  <c r="C5" i="5"/>
  <c r="C34" i="5"/>
  <c r="C35" i="5"/>
  <c r="C37" i="5"/>
  <c r="C12" i="7"/>
  <c r="C13" i="7"/>
  <c r="C26" i="7"/>
  <c r="C34" i="7"/>
  <c r="D3" i="7"/>
  <c r="C40" i="7"/>
  <c r="C41" i="7"/>
  <c r="C43" i="7"/>
  <c r="C45" i="7"/>
  <c r="D5" i="4"/>
  <c r="D10" i="4"/>
  <c r="D6" i="4"/>
  <c r="D7" i="4"/>
  <c r="D9" i="4"/>
  <c r="D8" i="4"/>
  <c r="D16" i="4"/>
  <c r="D17" i="4"/>
  <c r="D15" i="4"/>
  <c r="G29" i="10"/>
  <c r="G30" i="10"/>
  <c r="G31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32" i="10"/>
  <c r="G33" i="10"/>
  <c r="G51" i="10"/>
  <c r="G52" i="10"/>
  <c r="D14" i="4"/>
  <c r="D11" i="4"/>
  <c r="D12" i="4"/>
  <c r="D22" i="4"/>
  <c r="D13" i="4"/>
  <c r="D23" i="4"/>
  <c r="D24" i="4"/>
  <c r="D25" i="4"/>
  <c r="D27" i="4"/>
  <c r="D6" i="7"/>
  <c r="E29" i="3"/>
  <c r="E28" i="3"/>
  <c r="H58" i="1"/>
  <c r="E30" i="3"/>
  <c r="D43" i="2"/>
  <c r="E31" i="3"/>
  <c r="E32" i="3"/>
  <c r="E33" i="3"/>
  <c r="E34" i="3"/>
  <c r="E36" i="3"/>
  <c r="D8" i="7"/>
  <c r="E42" i="3"/>
  <c r="E41" i="3"/>
  <c r="H60" i="1"/>
  <c r="E43" i="3"/>
  <c r="D48" i="2"/>
  <c r="D49" i="2"/>
  <c r="E44" i="3"/>
  <c r="E45" i="3"/>
  <c r="E46" i="3"/>
  <c r="E47" i="3"/>
  <c r="E48" i="3"/>
  <c r="E49" i="3"/>
  <c r="E50" i="3"/>
  <c r="E52" i="3"/>
  <c r="D9" i="7"/>
  <c r="F86" i="1"/>
  <c r="D7" i="2"/>
  <c r="E5" i="3"/>
  <c r="F89" i="1"/>
  <c r="E6" i="3"/>
  <c r="E7" i="3"/>
  <c r="D7" i="7"/>
  <c r="E64" i="3"/>
  <c r="E65" i="3"/>
  <c r="E67" i="3"/>
  <c r="D10" i="7"/>
  <c r="D32" i="2"/>
  <c r="D51" i="2"/>
  <c r="D52" i="2"/>
  <c r="E56" i="3"/>
  <c r="E57" i="3"/>
  <c r="E59" i="3"/>
  <c r="D11" i="7"/>
  <c r="D27" i="5"/>
  <c r="D28" i="5"/>
  <c r="F48" i="6"/>
  <c r="B49" i="6"/>
  <c r="C49" i="6"/>
  <c r="F51" i="6"/>
  <c r="D29" i="5"/>
  <c r="F42" i="6"/>
  <c r="B43" i="6"/>
  <c r="C43" i="6"/>
  <c r="F45" i="6"/>
  <c r="D30" i="5"/>
  <c r="D31" i="5"/>
  <c r="D20" i="5"/>
  <c r="D21" i="5"/>
  <c r="D22" i="5"/>
  <c r="D23" i="5"/>
  <c r="D24" i="5"/>
  <c r="E13" i="2"/>
  <c r="G6" i="6"/>
  <c r="G15" i="6"/>
  <c r="G7" i="6"/>
  <c r="G16" i="6"/>
  <c r="G8" i="6"/>
  <c r="G17" i="6"/>
  <c r="G9" i="6"/>
  <c r="G18" i="6"/>
  <c r="G20" i="6"/>
  <c r="D13" i="5"/>
  <c r="E19" i="2"/>
  <c r="E21" i="2"/>
  <c r="E23" i="2"/>
  <c r="E30" i="2"/>
  <c r="G24" i="6"/>
  <c r="G32" i="6"/>
  <c r="G25" i="6"/>
  <c r="G33" i="6"/>
  <c r="G26" i="6"/>
  <c r="G34" i="6"/>
  <c r="G27" i="6"/>
  <c r="G35" i="6"/>
  <c r="G28" i="6"/>
  <c r="G36" i="6"/>
  <c r="G29" i="6"/>
  <c r="G37" i="6"/>
  <c r="G39" i="6"/>
  <c r="D14" i="5"/>
  <c r="D15" i="5"/>
  <c r="D16" i="5"/>
  <c r="D17" i="5"/>
  <c r="D8" i="5"/>
  <c r="D9" i="5"/>
  <c r="D10" i="5"/>
  <c r="D5" i="5"/>
  <c r="D34" i="5"/>
  <c r="D35" i="5"/>
  <c r="D37" i="5"/>
  <c r="D12" i="7"/>
  <c r="D13" i="7"/>
  <c r="D40" i="7"/>
  <c r="D18" i="7"/>
  <c r="D19" i="7"/>
  <c r="D20" i="7"/>
  <c r="D21" i="7"/>
  <c r="D22" i="7"/>
  <c r="D39" i="7"/>
  <c r="D41" i="7"/>
  <c r="D26" i="7"/>
  <c r="D43" i="7"/>
  <c r="D45" i="7"/>
  <c r="E5" i="4"/>
  <c r="E10" i="4"/>
  <c r="E6" i="4"/>
  <c r="E7" i="4"/>
  <c r="E9" i="4"/>
  <c r="E8" i="4"/>
  <c r="E16" i="4"/>
  <c r="E17" i="4"/>
  <c r="M42" i="1"/>
  <c r="E15" i="4"/>
  <c r="H29" i="10"/>
  <c r="H30" i="10"/>
  <c r="H31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32" i="10"/>
  <c r="H33" i="10"/>
  <c r="H51" i="10"/>
  <c r="H52" i="10"/>
  <c r="E14" i="4"/>
  <c r="E11" i="4"/>
  <c r="E12" i="4"/>
  <c r="E22" i="4"/>
  <c r="E13" i="4"/>
  <c r="E23" i="4"/>
  <c r="E24" i="4"/>
  <c r="E25" i="4"/>
  <c r="E27" i="4"/>
  <c r="E6" i="7"/>
  <c r="F29" i="3"/>
  <c r="F28" i="3"/>
  <c r="F30" i="3"/>
  <c r="E43" i="2"/>
  <c r="F31" i="3"/>
  <c r="F32" i="3"/>
  <c r="F33" i="3"/>
  <c r="F34" i="3"/>
  <c r="F36" i="3"/>
  <c r="E8" i="7"/>
  <c r="F42" i="3"/>
  <c r="F41" i="3"/>
  <c r="F43" i="3"/>
  <c r="E48" i="2"/>
  <c r="E49" i="2"/>
  <c r="F44" i="3"/>
  <c r="F45" i="3"/>
  <c r="F46" i="3"/>
  <c r="F47" i="3"/>
  <c r="F48" i="3"/>
  <c r="F49" i="3"/>
  <c r="F50" i="3"/>
  <c r="F52" i="3"/>
  <c r="E9" i="7"/>
  <c r="G86" i="1"/>
  <c r="E7" i="2"/>
  <c r="F5" i="3"/>
  <c r="G89" i="1"/>
  <c r="F6" i="3"/>
  <c r="F7" i="3"/>
  <c r="E7" i="7"/>
  <c r="F64" i="3"/>
  <c r="F65" i="3"/>
  <c r="F67" i="3"/>
  <c r="E10" i="7"/>
  <c r="E32" i="2"/>
  <c r="E51" i="2"/>
  <c r="E52" i="2"/>
  <c r="F56" i="3"/>
  <c r="F57" i="3"/>
  <c r="F59" i="3"/>
  <c r="E11" i="7"/>
  <c r="E27" i="5"/>
  <c r="E28" i="5"/>
  <c r="G48" i="6"/>
  <c r="G51" i="6"/>
  <c r="E29" i="5"/>
  <c r="G42" i="6"/>
  <c r="G45" i="6"/>
  <c r="E30" i="5"/>
  <c r="E31" i="5"/>
  <c r="E20" i="5"/>
  <c r="E21" i="5"/>
  <c r="E22" i="5"/>
  <c r="E23" i="5"/>
  <c r="E24" i="5"/>
  <c r="F13" i="2"/>
  <c r="H6" i="6"/>
  <c r="H15" i="6"/>
  <c r="H7" i="6"/>
  <c r="H16" i="6"/>
  <c r="H8" i="6"/>
  <c r="H17" i="6"/>
  <c r="H9" i="6"/>
  <c r="H18" i="6"/>
  <c r="H20" i="6"/>
  <c r="E13" i="5"/>
  <c r="F19" i="2"/>
  <c r="F21" i="2"/>
  <c r="F23" i="2"/>
  <c r="F30" i="2"/>
  <c r="H24" i="6"/>
  <c r="H32" i="6"/>
  <c r="H25" i="6"/>
  <c r="H33" i="6"/>
  <c r="H26" i="6"/>
  <c r="H34" i="6"/>
  <c r="H27" i="6"/>
  <c r="H35" i="6"/>
  <c r="H28" i="6"/>
  <c r="H36" i="6"/>
  <c r="H29" i="6"/>
  <c r="H37" i="6"/>
  <c r="H39" i="6"/>
  <c r="E14" i="5"/>
  <c r="E15" i="5"/>
  <c r="E16" i="5"/>
  <c r="E17" i="5"/>
  <c r="E8" i="5"/>
  <c r="E9" i="5"/>
  <c r="E10" i="5"/>
  <c r="E5" i="5"/>
  <c r="E34" i="5"/>
  <c r="E35" i="5"/>
  <c r="E37" i="5"/>
  <c r="E12" i="7"/>
  <c r="E13" i="7"/>
  <c r="E40" i="7"/>
  <c r="E18" i="7"/>
  <c r="E19" i="7"/>
  <c r="E20" i="7"/>
  <c r="E21" i="7"/>
  <c r="E22" i="7"/>
  <c r="E39" i="7"/>
  <c r="E41" i="7"/>
  <c r="E26" i="7"/>
  <c r="E43" i="7"/>
  <c r="E45" i="7"/>
  <c r="F5" i="4"/>
  <c r="F10" i="4"/>
  <c r="F6" i="4"/>
  <c r="F7" i="4"/>
  <c r="F9" i="4"/>
  <c r="F8" i="4"/>
  <c r="F16" i="4"/>
  <c r="F17" i="4"/>
  <c r="N42" i="1"/>
  <c r="F15" i="4"/>
  <c r="I29" i="10"/>
  <c r="I30" i="10"/>
  <c r="I31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32" i="10"/>
  <c r="I33" i="10"/>
  <c r="I51" i="10"/>
  <c r="I52" i="10"/>
  <c r="F14" i="4"/>
  <c r="F11" i="4"/>
  <c r="F12" i="4"/>
  <c r="F22" i="4"/>
  <c r="F13" i="4"/>
  <c r="F23" i="4"/>
  <c r="F24" i="4"/>
  <c r="F25" i="4"/>
  <c r="F27" i="4"/>
  <c r="F6" i="7"/>
  <c r="G29" i="3"/>
  <c r="G28" i="3"/>
  <c r="G30" i="3"/>
  <c r="F43" i="2"/>
  <c r="G31" i="3"/>
  <c r="G32" i="3"/>
  <c r="G33" i="3"/>
  <c r="G34" i="3"/>
  <c r="G36" i="3"/>
  <c r="F8" i="7"/>
  <c r="G42" i="3"/>
  <c r="G41" i="3"/>
  <c r="G43" i="3"/>
  <c r="F48" i="2"/>
  <c r="F49" i="2"/>
  <c r="G44" i="3"/>
  <c r="G45" i="3"/>
  <c r="G46" i="3"/>
  <c r="G47" i="3"/>
  <c r="G48" i="3"/>
  <c r="G49" i="3"/>
  <c r="G50" i="3"/>
  <c r="G52" i="3"/>
  <c r="F9" i="7"/>
  <c r="H86" i="1"/>
  <c r="F7" i="2"/>
  <c r="G5" i="3"/>
  <c r="H89" i="1"/>
  <c r="G6" i="3"/>
  <c r="G7" i="3"/>
  <c r="F7" i="7"/>
  <c r="G64" i="3"/>
  <c r="G65" i="3"/>
  <c r="G67" i="3"/>
  <c r="F10" i="7"/>
  <c r="F32" i="2"/>
  <c r="F51" i="2"/>
  <c r="F52" i="2"/>
  <c r="G56" i="3"/>
  <c r="G57" i="3"/>
  <c r="G59" i="3"/>
  <c r="F11" i="7"/>
  <c r="F27" i="5"/>
  <c r="F28" i="5"/>
  <c r="H48" i="6"/>
  <c r="H51" i="6"/>
  <c r="F29" i="5"/>
  <c r="H42" i="6"/>
  <c r="H45" i="6"/>
  <c r="F30" i="5"/>
  <c r="F31" i="5"/>
  <c r="F20" i="5"/>
  <c r="F21" i="5"/>
  <c r="F22" i="5"/>
  <c r="F23" i="5"/>
  <c r="F24" i="5"/>
  <c r="G13" i="2"/>
  <c r="I6" i="6"/>
  <c r="I15" i="6"/>
  <c r="I7" i="6"/>
  <c r="I16" i="6"/>
  <c r="I8" i="6"/>
  <c r="I17" i="6"/>
  <c r="I9" i="6"/>
  <c r="I18" i="6"/>
  <c r="I20" i="6"/>
  <c r="F13" i="5"/>
  <c r="G19" i="2"/>
  <c r="G21" i="2"/>
  <c r="G23" i="2"/>
  <c r="G30" i="2"/>
  <c r="I24" i="6"/>
  <c r="I32" i="6"/>
  <c r="I25" i="6"/>
  <c r="I33" i="6"/>
  <c r="I26" i="6"/>
  <c r="I34" i="6"/>
  <c r="I27" i="6"/>
  <c r="I35" i="6"/>
  <c r="I28" i="6"/>
  <c r="I36" i="6"/>
  <c r="I29" i="6"/>
  <c r="I37" i="6"/>
  <c r="I39" i="6"/>
  <c r="F14" i="5"/>
  <c r="F15" i="5"/>
  <c r="F16" i="5"/>
  <c r="F17" i="5"/>
  <c r="F8" i="5"/>
  <c r="F9" i="5"/>
  <c r="F10" i="5"/>
  <c r="F5" i="5"/>
  <c r="F34" i="5"/>
  <c r="F35" i="5"/>
  <c r="F37" i="5"/>
  <c r="F12" i="7"/>
  <c r="F13" i="7"/>
  <c r="F40" i="7"/>
  <c r="F18" i="7"/>
  <c r="F19" i="7"/>
  <c r="F20" i="7"/>
  <c r="F21" i="7"/>
  <c r="F22" i="7"/>
  <c r="F39" i="7"/>
  <c r="F41" i="7"/>
  <c r="F26" i="7"/>
  <c r="F43" i="7"/>
  <c r="F45" i="7"/>
  <c r="G5" i="4"/>
  <c r="G10" i="4"/>
  <c r="G6" i="4"/>
  <c r="G7" i="4"/>
  <c r="G9" i="4"/>
  <c r="G8" i="4"/>
  <c r="G16" i="4"/>
  <c r="G17" i="4"/>
  <c r="O42" i="1"/>
  <c r="G15" i="4"/>
  <c r="J29" i="10"/>
  <c r="J30" i="10"/>
  <c r="J31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32" i="10"/>
  <c r="J33" i="10"/>
  <c r="J51" i="10"/>
  <c r="J52" i="10"/>
  <c r="G14" i="4"/>
  <c r="G11" i="4"/>
  <c r="G12" i="4"/>
  <c r="G22" i="4"/>
  <c r="G13" i="4"/>
  <c r="G23" i="4"/>
  <c r="G24" i="4"/>
  <c r="G25" i="4"/>
  <c r="G27" i="4"/>
  <c r="G6" i="7"/>
  <c r="H29" i="3"/>
  <c r="H28" i="3"/>
  <c r="H30" i="3"/>
  <c r="G43" i="2"/>
  <c r="H31" i="3"/>
  <c r="H32" i="3"/>
  <c r="H33" i="3"/>
  <c r="H34" i="3"/>
  <c r="H36" i="3"/>
  <c r="G8" i="7"/>
  <c r="H42" i="3"/>
  <c r="H41" i="3"/>
  <c r="H43" i="3"/>
  <c r="G48" i="2"/>
  <c r="G49" i="2"/>
  <c r="H44" i="3"/>
  <c r="H45" i="3"/>
  <c r="H46" i="3"/>
  <c r="H47" i="3"/>
  <c r="H48" i="3"/>
  <c r="H49" i="3"/>
  <c r="H50" i="3"/>
  <c r="H52" i="3"/>
  <c r="G9" i="7"/>
  <c r="I86" i="1"/>
  <c r="G7" i="2"/>
  <c r="H5" i="3"/>
  <c r="I89" i="1"/>
  <c r="H6" i="3"/>
  <c r="H7" i="3"/>
  <c r="G7" i="7"/>
  <c r="H64" i="3"/>
  <c r="H65" i="3"/>
  <c r="H67" i="3"/>
  <c r="G10" i="7"/>
  <c r="G32" i="2"/>
  <c r="G51" i="2"/>
  <c r="G52" i="2"/>
  <c r="H56" i="3"/>
  <c r="H57" i="3"/>
  <c r="H59" i="3"/>
  <c r="G11" i="7"/>
  <c r="G27" i="5"/>
  <c r="G28" i="5"/>
  <c r="I48" i="6"/>
  <c r="I51" i="6"/>
  <c r="G29" i="5"/>
  <c r="I42" i="6"/>
  <c r="I45" i="6"/>
  <c r="G30" i="5"/>
  <c r="G31" i="5"/>
  <c r="G20" i="5"/>
  <c r="G21" i="5"/>
  <c r="G22" i="5"/>
  <c r="G23" i="5"/>
  <c r="G24" i="5"/>
  <c r="H13" i="2"/>
  <c r="J6" i="6"/>
  <c r="J15" i="6"/>
  <c r="J7" i="6"/>
  <c r="J16" i="6"/>
  <c r="J8" i="6"/>
  <c r="J17" i="6"/>
  <c r="J9" i="6"/>
  <c r="J18" i="6"/>
  <c r="J20" i="6"/>
  <c r="G13" i="5"/>
  <c r="H19" i="2"/>
  <c r="H21" i="2"/>
  <c r="H23" i="2"/>
  <c r="H30" i="2"/>
  <c r="J24" i="6"/>
  <c r="J32" i="6"/>
  <c r="J25" i="6"/>
  <c r="J33" i="6"/>
  <c r="J26" i="6"/>
  <c r="J34" i="6"/>
  <c r="J27" i="6"/>
  <c r="J35" i="6"/>
  <c r="J28" i="6"/>
  <c r="J36" i="6"/>
  <c r="J29" i="6"/>
  <c r="J37" i="6"/>
  <c r="J39" i="6"/>
  <c r="G14" i="5"/>
  <c r="G15" i="5"/>
  <c r="G16" i="5"/>
  <c r="G17" i="5"/>
  <c r="G8" i="5"/>
  <c r="G9" i="5"/>
  <c r="G10" i="5"/>
  <c r="G5" i="5"/>
  <c r="G34" i="5"/>
  <c r="G35" i="5"/>
  <c r="G37" i="5"/>
  <c r="G12" i="7"/>
  <c r="G13" i="7"/>
  <c r="G40" i="7"/>
  <c r="G18" i="7"/>
  <c r="G19" i="7"/>
  <c r="G20" i="7"/>
  <c r="G21" i="7"/>
  <c r="G22" i="7"/>
  <c r="G39" i="7"/>
  <c r="G41" i="7"/>
  <c r="G26" i="7"/>
  <c r="G43" i="7"/>
  <c r="G45" i="7"/>
  <c r="H5" i="4"/>
  <c r="H10" i="4"/>
  <c r="H6" i="4"/>
  <c r="H7" i="4"/>
  <c r="H9" i="4"/>
  <c r="H8" i="4"/>
  <c r="H16" i="4"/>
  <c r="H17" i="4"/>
  <c r="P42" i="1"/>
  <c r="H15" i="4"/>
  <c r="K29" i="10"/>
  <c r="K30" i="10"/>
  <c r="K31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32" i="10"/>
  <c r="K33" i="10"/>
  <c r="K51" i="10"/>
  <c r="K52" i="10"/>
  <c r="H14" i="4"/>
  <c r="H11" i="4"/>
  <c r="H12" i="4"/>
  <c r="H22" i="4"/>
  <c r="H13" i="4"/>
  <c r="H23" i="4"/>
  <c r="H24" i="4"/>
  <c r="H25" i="4"/>
  <c r="H27" i="4"/>
  <c r="H6" i="7"/>
  <c r="I29" i="3"/>
  <c r="I28" i="3"/>
  <c r="I30" i="3"/>
  <c r="H43" i="2"/>
  <c r="I31" i="3"/>
  <c r="I32" i="3"/>
  <c r="I33" i="3"/>
  <c r="I34" i="3"/>
  <c r="I36" i="3"/>
  <c r="H8" i="7"/>
  <c r="I42" i="3"/>
  <c r="I41" i="3"/>
  <c r="I43" i="3"/>
  <c r="H48" i="2"/>
  <c r="H49" i="2"/>
  <c r="I44" i="3"/>
  <c r="I45" i="3"/>
  <c r="I46" i="3"/>
  <c r="I47" i="3"/>
  <c r="I48" i="3"/>
  <c r="I49" i="3"/>
  <c r="I50" i="3"/>
  <c r="I52" i="3"/>
  <c r="H9" i="7"/>
  <c r="J86" i="1"/>
  <c r="H7" i="2"/>
  <c r="I5" i="3"/>
  <c r="J89" i="1"/>
  <c r="I6" i="3"/>
  <c r="I7" i="3"/>
  <c r="H7" i="7"/>
  <c r="I64" i="3"/>
  <c r="I65" i="3"/>
  <c r="I67" i="3"/>
  <c r="H10" i="7"/>
  <c r="H32" i="2"/>
  <c r="H51" i="2"/>
  <c r="H52" i="2"/>
  <c r="I56" i="3"/>
  <c r="I57" i="3"/>
  <c r="I59" i="3"/>
  <c r="H11" i="7"/>
  <c r="H27" i="5"/>
  <c r="H28" i="5"/>
  <c r="J48" i="6"/>
  <c r="J51" i="6"/>
  <c r="H29" i="5"/>
  <c r="J42" i="6"/>
  <c r="J45" i="6"/>
  <c r="H30" i="5"/>
  <c r="H31" i="5"/>
  <c r="H20" i="5"/>
  <c r="H21" i="5"/>
  <c r="H22" i="5"/>
  <c r="H23" i="5"/>
  <c r="H24" i="5"/>
  <c r="I13" i="2"/>
  <c r="K6" i="6"/>
  <c r="K15" i="6"/>
  <c r="K7" i="6"/>
  <c r="K16" i="6"/>
  <c r="K8" i="6"/>
  <c r="K17" i="6"/>
  <c r="K9" i="6"/>
  <c r="K18" i="6"/>
  <c r="K20" i="6"/>
  <c r="H13" i="5"/>
  <c r="I19" i="2"/>
  <c r="I21" i="2"/>
  <c r="I23" i="2"/>
  <c r="I30" i="2"/>
  <c r="K24" i="6"/>
  <c r="K32" i="6"/>
  <c r="K25" i="6"/>
  <c r="K33" i="6"/>
  <c r="K26" i="6"/>
  <c r="K34" i="6"/>
  <c r="K27" i="6"/>
  <c r="K35" i="6"/>
  <c r="K28" i="6"/>
  <c r="K36" i="6"/>
  <c r="K29" i="6"/>
  <c r="K37" i="6"/>
  <c r="K39" i="6"/>
  <c r="H14" i="5"/>
  <c r="H15" i="5"/>
  <c r="H16" i="5"/>
  <c r="H17" i="5"/>
  <c r="H8" i="5"/>
  <c r="H9" i="5"/>
  <c r="H10" i="5"/>
  <c r="H5" i="5"/>
  <c r="H34" i="5"/>
  <c r="H35" i="5"/>
  <c r="H37" i="5"/>
  <c r="H12" i="7"/>
  <c r="H13" i="7"/>
  <c r="H40" i="7"/>
  <c r="H18" i="7"/>
  <c r="H19" i="7"/>
  <c r="H20" i="7"/>
  <c r="H21" i="7"/>
  <c r="H22" i="7"/>
  <c r="H39" i="7"/>
  <c r="H41" i="7"/>
  <c r="H26" i="7"/>
  <c r="H43" i="7"/>
  <c r="H45" i="7"/>
  <c r="I5" i="4"/>
  <c r="I10" i="4"/>
  <c r="I6" i="4"/>
  <c r="I7" i="4"/>
  <c r="I9" i="4"/>
  <c r="I8" i="4"/>
  <c r="I16" i="4"/>
  <c r="I17" i="4"/>
  <c r="Q42" i="1"/>
  <c r="I15" i="4"/>
  <c r="L29" i="10"/>
  <c r="L30" i="10"/>
  <c r="L31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32" i="10"/>
  <c r="L33" i="10"/>
  <c r="L51" i="10"/>
  <c r="L52" i="10"/>
  <c r="I14" i="4"/>
  <c r="I11" i="4"/>
  <c r="I12" i="4"/>
  <c r="I22" i="4"/>
  <c r="I13" i="4"/>
  <c r="I23" i="4"/>
  <c r="I24" i="4"/>
  <c r="I25" i="4"/>
  <c r="I27" i="4"/>
  <c r="I6" i="7"/>
  <c r="J29" i="3"/>
  <c r="J28" i="3"/>
  <c r="J30" i="3"/>
  <c r="I43" i="2"/>
  <c r="J31" i="3"/>
  <c r="J32" i="3"/>
  <c r="J33" i="3"/>
  <c r="J34" i="3"/>
  <c r="J36" i="3"/>
  <c r="I8" i="7"/>
  <c r="J42" i="3"/>
  <c r="J41" i="3"/>
  <c r="J43" i="3"/>
  <c r="I48" i="2"/>
  <c r="I49" i="2"/>
  <c r="J44" i="3"/>
  <c r="J45" i="3"/>
  <c r="J46" i="3"/>
  <c r="J47" i="3"/>
  <c r="J48" i="3"/>
  <c r="J49" i="3"/>
  <c r="J50" i="3"/>
  <c r="J52" i="3"/>
  <c r="I9" i="7"/>
  <c r="K86" i="1"/>
  <c r="I7" i="2"/>
  <c r="J5" i="3"/>
  <c r="K89" i="1"/>
  <c r="J6" i="3"/>
  <c r="J7" i="3"/>
  <c r="I7" i="7"/>
  <c r="J64" i="3"/>
  <c r="J65" i="3"/>
  <c r="J67" i="3"/>
  <c r="I10" i="7"/>
  <c r="I32" i="2"/>
  <c r="I51" i="2"/>
  <c r="I52" i="2"/>
  <c r="J56" i="3"/>
  <c r="J57" i="3"/>
  <c r="J59" i="3"/>
  <c r="I11" i="7"/>
  <c r="I27" i="5"/>
  <c r="I28" i="5"/>
  <c r="K48" i="6"/>
  <c r="K51" i="6"/>
  <c r="I29" i="5"/>
  <c r="K42" i="6"/>
  <c r="K45" i="6"/>
  <c r="I30" i="5"/>
  <c r="I31" i="5"/>
  <c r="I20" i="5"/>
  <c r="I21" i="5"/>
  <c r="I22" i="5"/>
  <c r="I23" i="5"/>
  <c r="I24" i="5"/>
  <c r="J13" i="2"/>
  <c r="L6" i="6"/>
  <c r="L15" i="6"/>
  <c r="L7" i="6"/>
  <c r="L16" i="6"/>
  <c r="L8" i="6"/>
  <c r="L17" i="6"/>
  <c r="L9" i="6"/>
  <c r="L18" i="6"/>
  <c r="L20" i="6"/>
  <c r="I13" i="5"/>
  <c r="J19" i="2"/>
  <c r="J21" i="2"/>
  <c r="J23" i="2"/>
  <c r="J30" i="2"/>
  <c r="L24" i="6"/>
  <c r="L32" i="6"/>
  <c r="L25" i="6"/>
  <c r="L33" i="6"/>
  <c r="L26" i="6"/>
  <c r="L34" i="6"/>
  <c r="L27" i="6"/>
  <c r="L35" i="6"/>
  <c r="L28" i="6"/>
  <c r="L36" i="6"/>
  <c r="L29" i="6"/>
  <c r="L37" i="6"/>
  <c r="L39" i="6"/>
  <c r="I14" i="5"/>
  <c r="I15" i="5"/>
  <c r="I16" i="5"/>
  <c r="I17" i="5"/>
  <c r="I8" i="5"/>
  <c r="I9" i="5"/>
  <c r="I10" i="5"/>
  <c r="I5" i="5"/>
  <c r="I34" i="5"/>
  <c r="I35" i="5"/>
  <c r="I37" i="5"/>
  <c r="I12" i="7"/>
  <c r="I13" i="7"/>
  <c r="I40" i="7"/>
  <c r="I18" i="7"/>
  <c r="I19" i="7"/>
  <c r="I20" i="7"/>
  <c r="I21" i="7"/>
  <c r="I22" i="7"/>
  <c r="I39" i="7"/>
  <c r="I41" i="7"/>
  <c r="I26" i="7"/>
  <c r="I43" i="7"/>
  <c r="I45" i="7"/>
  <c r="J5" i="4"/>
  <c r="J10" i="4"/>
  <c r="J6" i="4"/>
  <c r="J7" i="4"/>
  <c r="J9" i="4"/>
  <c r="J8" i="4"/>
  <c r="J16" i="4"/>
  <c r="J17" i="4"/>
  <c r="R42" i="1"/>
  <c r="J15" i="4"/>
  <c r="M29" i="10"/>
  <c r="M30" i="10"/>
  <c r="M31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32" i="10"/>
  <c r="M33" i="10"/>
  <c r="M51" i="10"/>
  <c r="M52" i="10"/>
  <c r="J14" i="4"/>
  <c r="J11" i="4"/>
  <c r="J12" i="4"/>
  <c r="J22" i="4"/>
  <c r="J13" i="4"/>
  <c r="J23" i="4"/>
  <c r="J24" i="4"/>
  <c r="J25" i="4"/>
  <c r="J27" i="4"/>
  <c r="J6" i="7"/>
  <c r="K29" i="3"/>
  <c r="K28" i="3"/>
  <c r="K30" i="3"/>
  <c r="J43" i="2"/>
  <c r="K31" i="3"/>
  <c r="K32" i="3"/>
  <c r="K33" i="3"/>
  <c r="K34" i="3"/>
  <c r="K36" i="3"/>
  <c r="J8" i="7"/>
  <c r="K42" i="3"/>
  <c r="K41" i="3"/>
  <c r="K43" i="3"/>
  <c r="J48" i="2"/>
  <c r="J49" i="2"/>
  <c r="K44" i="3"/>
  <c r="K45" i="3"/>
  <c r="K46" i="3"/>
  <c r="K47" i="3"/>
  <c r="K48" i="3"/>
  <c r="K49" i="3"/>
  <c r="K50" i="3"/>
  <c r="K52" i="3"/>
  <c r="J9" i="7"/>
  <c r="L86" i="1"/>
  <c r="J7" i="2"/>
  <c r="K5" i="3"/>
  <c r="L89" i="1"/>
  <c r="K6" i="3"/>
  <c r="K7" i="3"/>
  <c r="J7" i="7"/>
  <c r="K64" i="3"/>
  <c r="K65" i="3"/>
  <c r="K67" i="3"/>
  <c r="J10" i="7"/>
  <c r="J32" i="2"/>
  <c r="J51" i="2"/>
  <c r="J52" i="2"/>
  <c r="K56" i="3"/>
  <c r="K57" i="3"/>
  <c r="K59" i="3"/>
  <c r="J11" i="7"/>
  <c r="J27" i="5"/>
  <c r="J28" i="5"/>
  <c r="L48" i="6"/>
  <c r="L51" i="6"/>
  <c r="J29" i="5"/>
  <c r="L42" i="6"/>
  <c r="L45" i="6"/>
  <c r="J30" i="5"/>
  <c r="J31" i="5"/>
  <c r="J20" i="5"/>
  <c r="J21" i="5"/>
  <c r="J22" i="5"/>
  <c r="J23" i="5"/>
  <c r="J24" i="5"/>
  <c r="K13" i="2"/>
  <c r="M6" i="6"/>
  <c r="M15" i="6"/>
  <c r="M7" i="6"/>
  <c r="M16" i="6"/>
  <c r="M8" i="6"/>
  <c r="M17" i="6"/>
  <c r="M9" i="6"/>
  <c r="M18" i="6"/>
  <c r="M20" i="6"/>
  <c r="J13" i="5"/>
  <c r="K19" i="2"/>
  <c r="K21" i="2"/>
  <c r="K23" i="2"/>
  <c r="K30" i="2"/>
  <c r="M24" i="6"/>
  <c r="M32" i="6"/>
  <c r="M25" i="6"/>
  <c r="M33" i="6"/>
  <c r="M26" i="6"/>
  <c r="M34" i="6"/>
  <c r="M27" i="6"/>
  <c r="M35" i="6"/>
  <c r="M28" i="6"/>
  <c r="M36" i="6"/>
  <c r="M29" i="6"/>
  <c r="M37" i="6"/>
  <c r="M39" i="6"/>
  <c r="J14" i="5"/>
  <c r="J15" i="5"/>
  <c r="J16" i="5"/>
  <c r="J17" i="5"/>
  <c r="J8" i="5"/>
  <c r="J9" i="5"/>
  <c r="J10" i="5"/>
  <c r="J5" i="5"/>
  <c r="J34" i="5"/>
  <c r="J35" i="5"/>
  <c r="J37" i="5"/>
  <c r="J12" i="7"/>
  <c r="J13" i="7"/>
  <c r="J40" i="7"/>
  <c r="J18" i="7"/>
  <c r="J19" i="7"/>
  <c r="J20" i="7"/>
  <c r="J21" i="7"/>
  <c r="J22" i="7"/>
  <c r="J39" i="7"/>
  <c r="J41" i="7"/>
  <c r="J26" i="7"/>
  <c r="J43" i="7"/>
  <c r="J45" i="7"/>
  <c r="K5" i="4"/>
  <c r="K10" i="4"/>
  <c r="K6" i="4"/>
  <c r="K7" i="4"/>
  <c r="K9" i="4"/>
  <c r="K8" i="4"/>
  <c r="K16" i="4"/>
  <c r="K17" i="4"/>
  <c r="S42" i="1"/>
  <c r="K15" i="4"/>
  <c r="N29" i="10"/>
  <c r="N30" i="10"/>
  <c r="N31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32" i="10"/>
  <c r="N33" i="10"/>
  <c r="N51" i="10"/>
  <c r="N52" i="10"/>
  <c r="K14" i="4"/>
  <c r="K11" i="4"/>
  <c r="K12" i="4"/>
  <c r="K22" i="4"/>
  <c r="K13" i="4"/>
  <c r="K23" i="4"/>
  <c r="K24" i="4"/>
  <c r="K25" i="4"/>
  <c r="K27" i="4"/>
  <c r="K6" i="7"/>
  <c r="L29" i="3"/>
  <c r="L28" i="3"/>
  <c r="L30" i="3"/>
  <c r="K43" i="2"/>
  <c r="L31" i="3"/>
  <c r="L32" i="3"/>
  <c r="L33" i="3"/>
  <c r="L34" i="3"/>
  <c r="L36" i="3"/>
  <c r="K8" i="7"/>
  <c r="L42" i="3"/>
  <c r="L41" i="3"/>
  <c r="L43" i="3"/>
  <c r="K48" i="2"/>
  <c r="K49" i="2"/>
  <c r="L44" i="3"/>
  <c r="L45" i="3"/>
  <c r="L46" i="3"/>
  <c r="L47" i="3"/>
  <c r="L48" i="3"/>
  <c r="L49" i="3"/>
  <c r="L50" i="3"/>
  <c r="L52" i="3"/>
  <c r="K9" i="7"/>
  <c r="M86" i="1"/>
  <c r="K7" i="2"/>
  <c r="L5" i="3"/>
  <c r="M89" i="1"/>
  <c r="L6" i="3"/>
  <c r="L7" i="3"/>
  <c r="K7" i="7"/>
  <c r="L64" i="3"/>
  <c r="L65" i="3"/>
  <c r="L67" i="3"/>
  <c r="K10" i="7"/>
  <c r="K32" i="2"/>
  <c r="K51" i="2"/>
  <c r="K52" i="2"/>
  <c r="L56" i="3"/>
  <c r="L57" i="3"/>
  <c r="L59" i="3"/>
  <c r="K11" i="7"/>
  <c r="K27" i="5"/>
  <c r="K28" i="5"/>
  <c r="M48" i="6"/>
  <c r="M51" i="6"/>
  <c r="K29" i="5"/>
  <c r="M42" i="6"/>
  <c r="M45" i="6"/>
  <c r="K30" i="5"/>
  <c r="K31" i="5"/>
  <c r="K20" i="5"/>
  <c r="K21" i="5"/>
  <c r="K22" i="5"/>
  <c r="K23" i="5"/>
  <c r="K24" i="5"/>
  <c r="L13" i="2"/>
  <c r="N6" i="6"/>
  <c r="N15" i="6"/>
  <c r="N7" i="6"/>
  <c r="N16" i="6"/>
  <c r="N8" i="6"/>
  <c r="N17" i="6"/>
  <c r="N9" i="6"/>
  <c r="N18" i="6"/>
  <c r="N20" i="6"/>
  <c r="K13" i="5"/>
  <c r="L19" i="2"/>
  <c r="L21" i="2"/>
  <c r="L23" i="2"/>
  <c r="L30" i="2"/>
  <c r="N24" i="6"/>
  <c r="N32" i="6"/>
  <c r="N25" i="6"/>
  <c r="N33" i="6"/>
  <c r="N26" i="6"/>
  <c r="N34" i="6"/>
  <c r="N27" i="6"/>
  <c r="N35" i="6"/>
  <c r="N28" i="6"/>
  <c r="N36" i="6"/>
  <c r="N29" i="6"/>
  <c r="N37" i="6"/>
  <c r="N39" i="6"/>
  <c r="K14" i="5"/>
  <c r="K15" i="5"/>
  <c r="K16" i="5"/>
  <c r="K17" i="5"/>
  <c r="K8" i="5"/>
  <c r="K9" i="5"/>
  <c r="K10" i="5"/>
  <c r="K5" i="5"/>
  <c r="K34" i="5"/>
  <c r="K35" i="5"/>
  <c r="K37" i="5"/>
  <c r="K12" i="7"/>
  <c r="K13" i="7"/>
  <c r="K40" i="7"/>
  <c r="K18" i="7"/>
  <c r="K19" i="7"/>
  <c r="K20" i="7"/>
  <c r="K21" i="7"/>
  <c r="K22" i="7"/>
  <c r="K39" i="7"/>
  <c r="K41" i="7"/>
  <c r="K26" i="7"/>
  <c r="K43" i="7"/>
  <c r="K45" i="7"/>
  <c r="L5" i="4"/>
  <c r="L10" i="4"/>
  <c r="L6" i="4"/>
  <c r="L7" i="4"/>
  <c r="L9" i="4"/>
  <c r="L8" i="4"/>
  <c r="L16" i="4"/>
  <c r="L17" i="4"/>
  <c r="T42" i="1"/>
  <c r="L15" i="4"/>
  <c r="O29" i="10"/>
  <c r="O30" i="10"/>
  <c r="O31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32" i="10"/>
  <c r="O33" i="10"/>
  <c r="O51" i="10"/>
  <c r="O52" i="10"/>
  <c r="L14" i="4"/>
  <c r="L11" i="4"/>
  <c r="L12" i="4"/>
  <c r="L22" i="4"/>
  <c r="L13" i="4"/>
  <c r="L23" i="4"/>
  <c r="L24" i="4"/>
  <c r="L25" i="4"/>
  <c r="L27" i="4"/>
  <c r="L6" i="7"/>
  <c r="M29" i="3"/>
  <c r="M28" i="3"/>
  <c r="M30" i="3"/>
  <c r="L43" i="2"/>
  <c r="M31" i="3"/>
  <c r="M32" i="3"/>
  <c r="M33" i="3"/>
  <c r="M34" i="3"/>
  <c r="M36" i="3"/>
  <c r="L8" i="7"/>
  <c r="M42" i="3"/>
  <c r="M41" i="3"/>
  <c r="M43" i="3"/>
  <c r="L48" i="2"/>
  <c r="L49" i="2"/>
  <c r="M44" i="3"/>
  <c r="M45" i="3"/>
  <c r="M46" i="3"/>
  <c r="M47" i="3"/>
  <c r="M48" i="3"/>
  <c r="M49" i="3"/>
  <c r="M50" i="3"/>
  <c r="M52" i="3"/>
  <c r="L9" i="7"/>
  <c r="N86" i="1"/>
  <c r="L7" i="2"/>
  <c r="M5" i="3"/>
  <c r="N89" i="1"/>
  <c r="M6" i="3"/>
  <c r="M7" i="3"/>
  <c r="L7" i="7"/>
  <c r="M64" i="3"/>
  <c r="M65" i="3"/>
  <c r="M67" i="3"/>
  <c r="L10" i="7"/>
  <c r="L32" i="2"/>
  <c r="L51" i="2"/>
  <c r="L52" i="2"/>
  <c r="M56" i="3"/>
  <c r="M57" i="3"/>
  <c r="M59" i="3"/>
  <c r="L11" i="7"/>
  <c r="L27" i="5"/>
  <c r="L28" i="5"/>
  <c r="N48" i="6"/>
  <c r="N51" i="6"/>
  <c r="L29" i="5"/>
  <c r="N42" i="6"/>
  <c r="N45" i="6"/>
  <c r="L30" i="5"/>
  <c r="L31" i="5"/>
  <c r="L20" i="5"/>
  <c r="L21" i="5"/>
  <c r="L22" i="5"/>
  <c r="L23" i="5"/>
  <c r="L24" i="5"/>
  <c r="M13" i="2"/>
  <c r="O6" i="6"/>
  <c r="O15" i="6"/>
  <c r="O7" i="6"/>
  <c r="O16" i="6"/>
  <c r="O8" i="6"/>
  <c r="O17" i="6"/>
  <c r="O9" i="6"/>
  <c r="O18" i="6"/>
  <c r="O20" i="6"/>
  <c r="L13" i="5"/>
  <c r="M19" i="2"/>
  <c r="M21" i="2"/>
  <c r="M23" i="2"/>
  <c r="M30" i="2"/>
  <c r="O24" i="6"/>
  <c r="O32" i="6"/>
  <c r="O25" i="6"/>
  <c r="O33" i="6"/>
  <c r="O26" i="6"/>
  <c r="O34" i="6"/>
  <c r="O27" i="6"/>
  <c r="O35" i="6"/>
  <c r="O28" i="6"/>
  <c r="O36" i="6"/>
  <c r="O29" i="6"/>
  <c r="O37" i="6"/>
  <c r="O39" i="6"/>
  <c r="L14" i="5"/>
  <c r="L15" i="5"/>
  <c r="L16" i="5"/>
  <c r="L17" i="5"/>
  <c r="L8" i="5"/>
  <c r="L9" i="5"/>
  <c r="L10" i="5"/>
  <c r="L5" i="5"/>
  <c r="L34" i="5"/>
  <c r="L35" i="5"/>
  <c r="L37" i="5"/>
  <c r="L12" i="7"/>
  <c r="L13" i="7"/>
  <c r="L40" i="7"/>
  <c r="L18" i="7"/>
  <c r="L19" i="7"/>
  <c r="L20" i="7"/>
  <c r="L21" i="7"/>
  <c r="L22" i="7"/>
  <c r="L39" i="7"/>
  <c r="L41" i="7"/>
  <c r="L26" i="7"/>
  <c r="L43" i="7"/>
  <c r="L45" i="7"/>
  <c r="C52" i="7"/>
  <c r="E6" i="8"/>
  <c r="E4" i="8"/>
  <c r="E5" i="8"/>
  <c r="E8" i="8"/>
  <c r="E11" i="8"/>
  <c r="E10" i="8"/>
  <c r="E13" i="8"/>
  <c r="E16" i="8"/>
  <c r="E15" i="8"/>
  <c r="E18" i="8"/>
  <c r="E21" i="8"/>
  <c r="E20" i="8"/>
  <c r="E23" i="8"/>
  <c r="E25" i="8"/>
  <c r="E29" i="8"/>
  <c r="G56" i="10"/>
  <c r="G57" i="10"/>
  <c r="G58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F7" i="10"/>
  <c r="G59" i="10"/>
  <c r="F8" i="10"/>
  <c r="G60" i="10"/>
  <c r="G78" i="10"/>
  <c r="E31" i="8"/>
  <c r="E27" i="8"/>
  <c r="E33" i="8"/>
  <c r="E36" i="8"/>
  <c r="D29" i="7"/>
  <c r="D34" i="7"/>
  <c r="G149" i="1"/>
  <c r="H19" i="1"/>
  <c r="H21" i="1"/>
  <c r="E20" i="6"/>
  <c r="E39" i="6"/>
  <c r="E45" i="6"/>
  <c r="E51" i="6"/>
  <c r="E54" i="6"/>
  <c r="E11" i="6"/>
  <c r="B10" i="2"/>
  <c r="A7" i="6"/>
  <c r="A8" i="6"/>
  <c r="A9" i="6"/>
  <c r="B17" i="2"/>
  <c r="B28" i="2"/>
  <c r="A24" i="6"/>
  <c r="A25" i="6"/>
  <c r="A26" i="6"/>
  <c r="A27" i="6"/>
  <c r="A28" i="6"/>
  <c r="A29" i="6"/>
  <c r="M32" i="2"/>
  <c r="O42" i="6"/>
  <c r="A43" i="6"/>
  <c r="O45" i="6"/>
  <c r="O48" i="6"/>
  <c r="A49" i="6"/>
  <c r="O51" i="6"/>
  <c r="O54" i="6"/>
  <c r="N54" i="6"/>
  <c r="M54" i="6"/>
  <c r="L54" i="6"/>
  <c r="K54" i="6"/>
  <c r="J54" i="6"/>
  <c r="I54" i="6"/>
  <c r="H54" i="6"/>
  <c r="G54" i="6"/>
  <c r="F54" i="6"/>
  <c r="D8" i="8"/>
  <c r="D18" i="8"/>
  <c r="D25" i="8"/>
  <c r="C27" i="5"/>
  <c r="C28" i="5"/>
  <c r="C29" i="5"/>
  <c r="C30" i="5"/>
  <c r="C31" i="5"/>
  <c r="C20" i="5"/>
  <c r="C21" i="5"/>
  <c r="C22" i="5"/>
  <c r="C23" i="5"/>
  <c r="C24" i="5"/>
  <c r="C15" i="5"/>
  <c r="C16" i="5"/>
  <c r="D27" i="8"/>
  <c r="C18" i="4"/>
  <c r="C19" i="4"/>
  <c r="F118" i="1"/>
  <c r="C20" i="4"/>
  <c r="F122" i="1"/>
  <c r="C21" i="4"/>
  <c r="D29" i="8"/>
  <c r="E4" i="10"/>
  <c r="F56" i="10"/>
  <c r="E5" i="10"/>
  <c r="F57" i="10"/>
  <c r="E6" i="10"/>
  <c r="F58" i="10"/>
  <c r="E7" i="10"/>
  <c r="F59" i="10"/>
  <c r="E8" i="10"/>
  <c r="F60" i="10"/>
  <c r="E9" i="10"/>
  <c r="F61" i="10"/>
  <c r="E10" i="10"/>
  <c r="F62" i="10"/>
  <c r="E11" i="10"/>
  <c r="F63" i="10"/>
  <c r="E12" i="10"/>
  <c r="F64" i="10"/>
  <c r="E13" i="10"/>
  <c r="F65" i="10"/>
  <c r="E14" i="10"/>
  <c r="F66" i="10"/>
  <c r="E15" i="10"/>
  <c r="F67" i="10"/>
  <c r="E16" i="10"/>
  <c r="F68" i="10"/>
  <c r="E17" i="10"/>
  <c r="F69" i="10"/>
  <c r="E18" i="10"/>
  <c r="F70" i="10"/>
  <c r="E19" i="10"/>
  <c r="F71" i="10"/>
  <c r="E20" i="10"/>
  <c r="F72" i="10"/>
  <c r="E21" i="10"/>
  <c r="F73" i="10"/>
  <c r="E22" i="10"/>
  <c r="F74" i="10"/>
  <c r="E23" i="10"/>
  <c r="F75" i="10"/>
  <c r="E24" i="10"/>
  <c r="F76" i="10"/>
  <c r="F78" i="10"/>
  <c r="D31" i="8"/>
  <c r="D33" i="8"/>
  <c r="D38" i="8"/>
  <c r="D20" i="9"/>
  <c r="L34" i="1"/>
  <c r="L36" i="1"/>
  <c r="D18" i="4"/>
  <c r="D19" i="4"/>
  <c r="G118" i="1"/>
  <c r="D20" i="4"/>
  <c r="G122" i="1"/>
  <c r="D21" i="4"/>
  <c r="E38" i="8"/>
  <c r="F20" i="9"/>
  <c r="F4" i="8"/>
  <c r="F5" i="8"/>
  <c r="M34" i="1"/>
  <c r="F6" i="8"/>
  <c r="F8" i="8"/>
  <c r="F10" i="8"/>
  <c r="M36" i="1"/>
  <c r="F11" i="8"/>
  <c r="F13" i="8"/>
  <c r="F15" i="8"/>
  <c r="F16" i="8"/>
  <c r="F18" i="8"/>
  <c r="F20" i="8"/>
  <c r="F21" i="8"/>
  <c r="F23" i="8"/>
  <c r="F25" i="8"/>
  <c r="F27" i="8"/>
  <c r="E18" i="4"/>
  <c r="E19" i="4"/>
  <c r="H118" i="1"/>
  <c r="E20" i="4"/>
  <c r="H122" i="1"/>
  <c r="E21" i="4"/>
  <c r="F29" i="8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8" i="10"/>
  <c r="F31" i="8"/>
  <c r="F33" i="8"/>
  <c r="F36" i="8"/>
  <c r="F38" i="8"/>
  <c r="H20" i="9"/>
  <c r="G4" i="8"/>
  <c r="G5" i="8"/>
  <c r="N34" i="1"/>
  <c r="G6" i="8"/>
  <c r="G8" i="8"/>
  <c r="G10" i="8"/>
  <c r="N36" i="1"/>
  <c r="G11" i="8"/>
  <c r="G13" i="8"/>
  <c r="G15" i="8"/>
  <c r="G16" i="8"/>
  <c r="G18" i="8"/>
  <c r="G20" i="8"/>
  <c r="G21" i="8"/>
  <c r="G23" i="8"/>
  <c r="G25" i="8"/>
  <c r="G27" i="8"/>
  <c r="F18" i="4"/>
  <c r="F19" i="4"/>
  <c r="I118" i="1"/>
  <c r="F20" i="4"/>
  <c r="I122" i="1"/>
  <c r="F21" i="4"/>
  <c r="G29" i="8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8" i="10"/>
  <c r="G31" i="8"/>
  <c r="G33" i="8"/>
  <c r="G36" i="8"/>
  <c r="G38" i="8"/>
  <c r="J20" i="9"/>
  <c r="H4" i="8"/>
  <c r="H5" i="8"/>
  <c r="O34" i="1"/>
  <c r="H6" i="8"/>
  <c r="H8" i="8"/>
  <c r="H10" i="8"/>
  <c r="O36" i="1"/>
  <c r="H11" i="8"/>
  <c r="H13" i="8"/>
  <c r="H15" i="8"/>
  <c r="H16" i="8"/>
  <c r="H18" i="8"/>
  <c r="H20" i="8"/>
  <c r="H21" i="8"/>
  <c r="H23" i="8"/>
  <c r="H25" i="8"/>
  <c r="H27" i="8"/>
  <c r="G18" i="4"/>
  <c r="G19" i="4"/>
  <c r="J118" i="1"/>
  <c r="G20" i="4"/>
  <c r="J122" i="1"/>
  <c r="G21" i="4"/>
  <c r="H29" i="8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8" i="10"/>
  <c r="H31" i="8"/>
  <c r="H33" i="8"/>
  <c r="H36" i="8"/>
  <c r="H38" i="8"/>
  <c r="L20" i="9"/>
  <c r="I4" i="8"/>
  <c r="I5" i="8"/>
  <c r="P34" i="1"/>
  <c r="I6" i="8"/>
  <c r="I8" i="8"/>
  <c r="I10" i="8"/>
  <c r="P36" i="1"/>
  <c r="I11" i="8"/>
  <c r="I13" i="8"/>
  <c r="I15" i="8"/>
  <c r="I16" i="8"/>
  <c r="I18" i="8"/>
  <c r="I20" i="8"/>
  <c r="I21" i="8"/>
  <c r="I23" i="8"/>
  <c r="I25" i="8"/>
  <c r="I27" i="8"/>
  <c r="H18" i="4"/>
  <c r="H19" i="4"/>
  <c r="K118" i="1"/>
  <c r="H20" i="4"/>
  <c r="K122" i="1"/>
  <c r="H21" i="4"/>
  <c r="I29" i="8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8" i="10"/>
  <c r="I31" i="8"/>
  <c r="I33" i="8"/>
  <c r="I36" i="8"/>
  <c r="I38" i="8"/>
  <c r="N20" i="9"/>
  <c r="J4" i="8"/>
  <c r="J5" i="8"/>
  <c r="Q34" i="1"/>
  <c r="J6" i="8"/>
  <c r="J8" i="8"/>
  <c r="J10" i="8"/>
  <c r="Q36" i="1"/>
  <c r="J11" i="8"/>
  <c r="J13" i="8"/>
  <c r="J15" i="8"/>
  <c r="J16" i="8"/>
  <c r="J18" i="8"/>
  <c r="J20" i="8"/>
  <c r="J21" i="8"/>
  <c r="J23" i="8"/>
  <c r="J25" i="8"/>
  <c r="J27" i="8"/>
  <c r="I18" i="4"/>
  <c r="I19" i="4"/>
  <c r="L118" i="1"/>
  <c r="I20" i="4"/>
  <c r="L122" i="1"/>
  <c r="I21" i="4"/>
  <c r="J29" i="8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8" i="10"/>
  <c r="J31" i="8"/>
  <c r="J33" i="8"/>
  <c r="J36" i="8"/>
  <c r="J38" i="8"/>
  <c r="P20" i="9"/>
  <c r="K4" i="8"/>
  <c r="K5" i="8"/>
  <c r="R34" i="1"/>
  <c r="K6" i="8"/>
  <c r="K8" i="8"/>
  <c r="K10" i="8"/>
  <c r="R36" i="1"/>
  <c r="K11" i="8"/>
  <c r="K13" i="8"/>
  <c r="K15" i="8"/>
  <c r="K16" i="8"/>
  <c r="K18" i="8"/>
  <c r="K20" i="8"/>
  <c r="K21" i="8"/>
  <c r="K23" i="8"/>
  <c r="K25" i="8"/>
  <c r="K27" i="8"/>
  <c r="J18" i="4"/>
  <c r="J19" i="4"/>
  <c r="M118" i="1"/>
  <c r="J20" i="4"/>
  <c r="M122" i="1"/>
  <c r="J21" i="4"/>
  <c r="K29" i="8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8" i="10"/>
  <c r="K31" i="8"/>
  <c r="K33" i="8"/>
  <c r="K36" i="8"/>
  <c r="K38" i="8"/>
  <c r="R20" i="9"/>
  <c r="L4" i="8"/>
  <c r="L5" i="8"/>
  <c r="S34" i="1"/>
  <c r="L6" i="8"/>
  <c r="L8" i="8"/>
  <c r="L10" i="8"/>
  <c r="S36" i="1"/>
  <c r="L11" i="8"/>
  <c r="L13" i="8"/>
  <c r="L15" i="8"/>
  <c r="L16" i="8"/>
  <c r="L18" i="8"/>
  <c r="L20" i="8"/>
  <c r="L21" i="8"/>
  <c r="L23" i="8"/>
  <c r="L25" i="8"/>
  <c r="L27" i="8"/>
  <c r="K18" i="4"/>
  <c r="K19" i="4"/>
  <c r="N118" i="1"/>
  <c r="K20" i="4"/>
  <c r="N122" i="1"/>
  <c r="K21" i="4"/>
  <c r="L29" i="8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8" i="10"/>
  <c r="L31" i="8"/>
  <c r="L33" i="8"/>
  <c r="L36" i="8"/>
  <c r="L38" i="8"/>
  <c r="T20" i="9"/>
  <c r="M4" i="8"/>
  <c r="M5" i="8"/>
  <c r="T34" i="1"/>
  <c r="M6" i="8"/>
  <c r="M8" i="8"/>
  <c r="M10" i="8"/>
  <c r="T36" i="1"/>
  <c r="M11" i="8"/>
  <c r="M13" i="8"/>
  <c r="M15" i="8"/>
  <c r="M16" i="8"/>
  <c r="M18" i="8"/>
  <c r="M20" i="8"/>
  <c r="M21" i="8"/>
  <c r="M23" i="8"/>
  <c r="M25" i="8"/>
  <c r="M27" i="8"/>
  <c r="L18" i="4"/>
  <c r="L19" i="4"/>
  <c r="O118" i="1"/>
  <c r="L20" i="4"/>
  <c r="O122" i="1"/>
  <c r="L21" i="4"/>
  <c r="M29" i="8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8" i="10"/>
  <c r="M31" i="8"/>
  <c r="M33" i="8"/>
  <c r="M36" i="8"/>
  <c r="M38" i="8"/>
  <c r="V20" i="9"/>
  <c r="E5" i="9"/>
  <c r="G5" i="9"/>
  <c r="I5" i="9"/>
  <c r="K5" i="9"/>
  <c r="M5" i="9"/>
  <c r="O5" i="9"/>
  <c r="Q5" i="9"/>
  <c r="S5" i="9"/>
  <c r="U5" i="9"/>
  <c r="C7" i="9"/>
  <c r="E7" i="9"/>
  <c r="G7" i="9"/>
  <c r="I7" i="9"/>
  <c r="K7" i="9"/>
  <c r="M7" i="9"/>
  <c r="O7" i="9"/>
  <c r="Q7" i="9"/>
  <c r="S7" i="9"/>
  <c r="U7" i="9"/>
  <c r="V9" i="9"/>
  <c r="T9" i="9"/>
  <c r="R9" i="9"/>
  <c r="P9" i="9"/>
  <c r="N9" i="9"/>
  <c r="L9" i="9"/>
  <c r="J9" i="9"/>
  <c r="H9" i="9"/>
  <c r="F9" i="9"/>
  <c r="C5" i="9"/>
  <c r="D9" i="9"/>
  <c r="D11" i="9"/>
  <c r="D28" i="9"/>
  <c r="F11" i="9"/>
  <c r="V11" i="9"/>
  <c r="T11" i="9"/>
  <c r="R11" i="9"/>
  <c r="P11" i="9"/>
  <c r="N11" i="9"/>
  <c r="L11" i="9"/>
  <c r="J11" i="9"/>
  <c r="H11" i="9"/>
  <c r="F28" i="9"/>
  <c r="T28" i="9"/>
  <c r="V28" i="9"/>
  <c r="R28" i="9"/>
  <c r="P28" i="9"/>
  <c r="N28" i="9"/>
  <c r="L28" i="9"/>
  <c r="J28" i="9"/>
  <c r="H28" i="9"/>
  <c r="K34" i="1"/>
  <c r="K36" i="1"/>
  <c r="D67" i="3"/>
  <c r="C10" i="7"/>
  <c r="D59" i="3"/>
  <c r="C11" i="7"/>
  <c r="C18" i="7"/>
  <c r="C19" i="7"/>
  <c r="C20" i="7"/>
  <c r="C21" i="7"/>
  <c r="C22" i="7"/>
  <c r="C29" i="7"/>
  <c r="D13" i="9"/>
  <c r="D15" i="9"/>
  <c r="E3" i="7"/>
  <c r="E29" i="7"/>
  <c r="E34" i="7"/>
  <c r="H13" i="9"/>
  <c r="H15" i="9"/>
  <c r="F3" i="7"/>
  <c r="F29" i="7"/>
  <c r="F34" i="7"/>
  <c r="J13" i="9"/>
  <c r="J15" i="9"/>
  <c r="G3" i="7"/>
  <c r="G29" i="7"/>
  <c r="G34" i="7"/>
  <c r="L13" i="9"/>
  <c r="L15" i="9"/>
  <c r="H3" i="7"/>
  <c r="H29" i="7"/>
  <c r="H34" i="7"/>
  <c r="N13" i="9"/>
  <c r="N15" i="9"/>
  <c r="I3" i="7"/>
  <c r="I29" i="7"/>
  <c r="I34" i="7"/>
  <c r="P13" i="9"/>
  <c r="P15" i="9"/>
  <c r="J3" i="7"/>
  <c r="J29" i="7"/>
  <c r="J34" i="7"/>
  <c r="R13" i="9"/>
  <c r="R15" i="9"/>
  <c r="K3" i="7"/>
  <c r="K29" i="7"/>
  <c r="K34" i="7"/>
  <c r="T13" i="9"/>
  <c r="T15" i="9"/>
  <c r="L3" i="7"/>
  <c r="L29" i="7"/>
  <c r="L34" i="7"/>
  <c r="V13" i="9"/>
  <c r="V15" i="9"/>
  <c r="F13" i="9"/>
  <c r="F15" i="9"/>
  <c r="B188" i="1"/>
  <c r="B189" i="1"/>
  <c r="B190" i="1"/>
  <c r="B187" i="1"/>
  <c r="H75" i="1"/>
  <c r="H76" i="1"/>
  <c r="H77" i="1"/>
  <c r="H79" i="1"/>
  <c r="H80" i="1"/>
  <c r="H81" i="1"/>
  <c r="H82" i="1"/>
  <c r="H74" i="1"/>
  <c r="H59" i="1"/>
  <c r="H61" i="1"/>
  <c r="H62" i="1"/>
  <c r="H63" i="1"/>
  <c r="H64" i="1"/>
  <c r="H65" i="1"/>
  <c r="H66" i="1"/>
  <c r="H67" i="1"/>
  <c r="H68" i="1"/>
  <c r="O26" i="1"/>
  <c r="H149" i="1"/>
  <c r="I149" i="1"/>
  <c r="J149" i="1"/>
  <c r="K149" i="1"/>
  <c r="L149" i="1"/>
  <c r="M149" i="1"/>
  <c r="N149" i="1"/>
  <c r="O149" i="1"/>
  <c r="I21" i="1"/>
  <c r="J21" i="1"/>
  <c r="K21" i="1"/>
  <c r="L21" i="1"/>
  <c r="M21" i="1"/>
  <c r="N21" i="1"/>
  <c r="O21" i="1"/>
  <c r="P21" i="1"/>
  <c r="Q21" i="1"/>
  <c r="K17" i="1"/>
  <c r="L17" i="1"/>
  <c r="M17" i="1"/>
  <c r="N17" i="1"/>
  <c r="O17" i="1"/>
  <c r="P17" i="1"/>
  <c r="Q17" i="1"/>
  <c r="I19" i="1"/>
  <c r="J19" i="1"/>
  <c r="K19" i="1"/>
  <c r="L19" i="1"/>
  <c r="M19" i="1"/>
  <c r="N19" i="1"/>
  <c r="O19" i="1"/>
  <c r="P19" i="1"/>
  <c r="Q19" i="1"/>
  <c r="D20" i="8"/>
  <c r="D21" i="8"/>
  <c r="D23" i="8"/>
  <c r="C39" i="7"/>
  <c r="A21" i="7"/>
  <c r="A20" i="7"/>
  <c r="A18" i="7"/>
  <c r="A19" i="7"/>
  <c r="A12" i="7"/>
  <c r="A11" i="7"/>
  <c r="A10" i="7"/>
  <c r="A9" i="7"/>
  <c r="A8" i="7"/>
  <c r="A6" i="7"/>
  <c r="C50" i="7"/>
  <c r="B32" i="6"/>
  <c r="B33" i="6"/>
  <c r="B34" i="6"/>
  <c r="A32" i="6"/>
  <c r="A33" i="6"/>
  <c r="A34" i="6"/>
  <c r="B36" i="6"/>
  <c r="B37" i="6"/>
  <c r="B35" i="6"/>
  <c r="A36" i="6"/>
  <c r="A37" i="6"/>
  <c r="A35" i="6"/>
  <c r="C15" i="6"/>
  <c r="C16" i="6"/>
  <c r="C17" i="6"/>
  <c r="C18" i="6"/>
  <c r="B15" i="6"/>
  <c r="B16" i="6"/>
  <c r="B17" i="6"/>
  <c r="B18" i="6"/>
  <c r="A6" i="6"/>
  <c r="A15" i="6"/>
  <c r="A16" i="6"/>
  <c r="A17" i="6"/>
  <c r="A18" i="6"/>
  <c r="B14" i="6"/>
  <c r="C14" i="6"/>
  <c r="A14" i="6"/>
  <c r="F11" i="6"/>
  <c r="G11" i="6"/>
  <c r="H11" i="6"/>
  <c r="I11" i="6"/>
  <c r="J11" i="6"/>
  <c r="K11" i="6"/>
  <c r="L11" i="6"/>
  <c r="M11" i="6"/>
  <c r="N11" i="6"/>
  <c r="O11" i="6"/>
  <c r="A8" i="5"/>
  <c r="A9" i="5"/>
  <c r="A12" i="5"/>
  <c r="A13" i="5"/>
  <c r="A14" i="5"/>
  <c r="A15" i="5"/>
  <c r="A16" i="5"/>
  <c r="A19" i="5"/>
  <c r="A20" i="5"/>
  <c r="A21" i="5"/>
  <c r="A22" i="5"/>
  <c r="A23" i="5"/>
  <c r="A26" i="5"/>
  <c r="A27" i="5"/>
  <c r="A28" i="5"/>
  <c r="A29" i="5"/>
  <c r="A30" i="5"/>
  <c r="A5" i="5"/>
  <c r="E11" i="3"/>
  <c r="F11" i="3"/>
  <c r="G11" i="3"/>
  <c r="H11" i="3"/>
  <c r="I11" i="3"/>
  <c r="J11" i="3"/>
  <c r="K11" i="3"/>
  <c r="L11" i="3"/>
  <c r="M11" i="3"/>
  <c r="D11" i="3"/>
  <c r="E14" i="3"/>
  <c r="F14" i="3"/>
  <c r="G14" i="3"/>
  <c r="H14" i="3"/>
  <c r="I14" i="3"/>
  <c r="J14" i="3"/>
  <c r="K14" i="3"/>
  <c r="L14" i="3"/>
  <c r="M14" i="3"/>
  <c r="D14" i="3"/>
  <c r="E13" i="3"/>
  <c r="F13" i="3"/>
  <c r="G13" i="3"/>
  <c r="H13" i="3"/>
  <c r="I13" i="3"/>
  <c r="J13" i="3"/>
  <c r="K13" i="3"/>
  <c r="L13" i="3"/>
  <c r="M13" i="3"/>
  <c r="D13" i="3"/>
  <c r="E18" i="3"/>
  <c r="F18" i="3"/>
  <c r="G18" i="3"/>
  <c r="H18" i="3"/>
  <c r="I18" i="3"/>
  <c r="J18" i="3"/>
  <c r="K18" i="3"/>
  <c r="L18" i="3"/>
  <c r="M18" i="3"/>
  <c r="D18" i="3"/>
  <c r="E10" i="3"/>
  <c r="E12" i="3"/>
  <c r="E15" i="3"/>
  <c r="E16" i="3"/>
  <c r="F10" i="3"/>
  <c r="F12" i="3"/>
  <c r="F15" i="3"/>
  <c r="F16" i="3"/>
  <c r="G10" i="3"/>
  <c r="G12" i="3"/>
  <c r="G15" i="3"/>
  <c r="G16" i="3"/>
  <c r="H10" i="3"/>
  <c r="H12" i="3"/>
  <c r="H15" i="3"/>
  <c r="H16" i="3"/>
  <c r="I10" i="3"/>
  <c r="I12" i="3"/>
  <c r="I15" i="3"/>
  <c r="I16" i="3"/>
  <c r="J10" i="3"/>
  <c r="J12" i="3"/>
  <c r="J15" i="3"/>
  <c r="J16" i="3"/>
  <c r="K10" i="3"/>
  <c r="K12" i="3"/>
  <c r="K15" i="3"/>
  <c r="K16" i="3"/>
  <c r="L10" i="3"/>
  <c r="L12" i="3"/>
  <c r="L15" i="3"/>
  <c r="L16" i="3"/>
  <c r="M10" i="3"/>
  <c r="M12" i="3"/>
  <c r="M15" i="3"/>
  <c r="M16" i="3"/>
  <c r="D10" i="3"/>
  <c r="D12" i="3"/>
  <c r="D15" i="3"/>
  <c r="D16" i="3"/>
  <c r="D20" i="3"/>
  <c r="M20" i="3"/>
  <c r="L20" i="3"/>
  <c r="K20" i="3"/>
  <c r="J20" i="3"/>
  <c r="I20" i="3"/>
  <c r="H20" i="3"/>
  <c r="G20" i="3"/>
  <c r="F20" i="3"/>
  <c r="E20" i="3"/>
  <c r="M51" i="2"/>
  <c r="M52" i="2"/>
  <c r="M48" i="2"/>
  <c r="M49" i="2"/>
  <c r="E46" i="2"/>
  <c r="E47" i="2"/>
  <c r="F46" i="2"/>
  <c r="F47" i="2"/>
  <c r="G46" i="2"/>
  <c r="G47" i="2"/>
  <c r="H46" i="2"/>
  <c r="H47" i="2"/>
  <c r="I46" i="2"/>
  <c r="I47" i="2"/>
  <c r="J46" i="2"/>
  <c r="J47" i="2"/>
  <c r="K46" i="2"/>
  <c r="K47" i="2"/>
  <c r="L46" i="2"/>
  <c r="L47" i="2"/>
  <c r="M46" i="2"/>
  <c r="M47" i="2"/>
  <c r="D46" i="2"/>
  <c r="D47" i="2"/>
  <c r="M43" i="2"/>
  <c r="E41" i="2"/>
  <c r="D38" i="2"/>
  <c r="E42" i="2"/>
  <c r="E38" i="2"/>
  <c r="F41" i="2"/>
  <c r="F42" i="2"/>
  <c r="F38" i="2"/>
  <c r="G41" i="2"/>
  <c r="G42" i="2"/>
  <c r="G38" i="2"/>
  <c r="H41" i="2"/>
  <c r="H42" i="2"/>
  <c r="H38" i="2"/>
  <c r="I41" i="2"/>
  <c r="I42" i="2"/>
  <c r="I38" i="2"/>
  <c r="J41" i="2"/>
  <c r="J42" i="2"/>
  <c r="J38" i="2"/>
  <c r="K41" i="2"/>
  <c r="K42" i="2"/>
  <c r="K38" i="2"/>
  <c r="L41" i="2"/>
  <c r="L42" i="2"/>
  <c r="M41" i="2"/>
  <c r="L38" i="2"/>
  <c r="M42" i="2"/>
  <c r="M38" i="2"/>
  <c r="D41" i="2"/>
  <c r="C38" i="2"/>
  <c r="D42" i="2"/>
  <c r="A5" i="10"/>
  <c r="A30" i="10"/>
  <c r="A57" i="10"/>
  <c r="A6" i="10"/>
  <c r="A31" i="10"/>
  <c r="A58" i="10"/>
  <c r="A32" i="10"/>
  <c r="A59" i="10"/>
  <c r="A33" i="10"/>
  <c r="A60" i="10"/>
  <c r="A9" i="10"/>
  <c r="A34" i="10"/>
  <c r="A61" i="10"/>
  <c r="A10" i="10"/>
  <c r="A35" i="10"/>
  <c r="A11" i="10"/>
  <c r="A36" i="10"/>
  <c r="A12" i="10"/>
  <c r="A37" i="10"/>
  <c r="A13" i="10"/>
  <c r="A38" i="10"/>
  <c r="A14" i="10"/>
  <c r="A39" i="10"/>
  <c r="A15" i="10"/>
  <c r="A40" i="10"/>
  <c r="A16" i="10"/>
  <c r="A41" i="10"/>
  <c r="A17" i="10"/>
  <c r="A42" i="10"/>
  <c r="A18" i="10"/>
  <c r="A43" i="10"/>
  <c r="A19" i="10"/>
  <c r="A44" i="10"/>
  <c r="A20" i="10"/>
  <c r="A45" i="10"/>
  <c r="F80" i="10"/>
  <c r="G80" i="10"/>
  <c r="H80" i="10"/>
  <c r="I80" i="10"/>
  <c r="J80" i="10"/>
  <c r="K80" i="10"/>
  <c r="L80" i="10"/>
  <c r="M80" i="10"/>
  <c r="N80" i="10"/>
  <c r="O80" i="10"/>
  <c r="G27" i="10"/>
  <c r="G54" i="10"/>
  <c r="H27" i="10"/>
  <c r="H54" i="10"/>
  <c r="I27" i="10"/>
  <c r="I54" i="10"/>
  <c r="J27" i="10"/>
  <c r="J54" i="10"/>
  <c r="K27" i="10"/>
  <c r="K54" i="10"/>
  <c r="L27" i="10"/>
  <c r="L54" i="10"/>
  <c r="M27" i="10"/>
  <c r="M54" i="10"/>
  <c r="N27" i="10"/>
  <c r="N54" i="10"/>
  <c r="F27" i="10"/>
  <c r="F54" i="10"/>
  <c r="B24" i="10"/>
  <c r="B49" i="10"/>
  <c r="B76" i="10"/>
  <c r="B23" i="10"/>
  <c r="B48" i="10"/>
  <c r="B75" i="10"/>
  <c r="B22" i="10"/>
  <c r="B47" i="10"/>
  <c r="B74" i="10"/>
  <c r="A4" i="10"/>
  <c r="A29" i="10"/>
  <c r="A56" i="10"/>
  <c r="A62" i="10"/>
  <c r="A63" i="10"/>
  <c r="A64" i="10"/>
  <c r="A65" i="10"/>
  <c r="A66" i="10"/>
  <c r="A67" i="10"/>
  <c r="A68" i="10"/>
  <c r="A69" i="10"/>
  <c r="A70" i="10"/>
  <c r="A71" i="10"/>
  <c r="A72" i="10"/>
  <c r="A21" i="10"/>
  <c r="A46" i="10"/>
  <c r="A73" i="10"/>
  <c r="A22" i="10"/>
  <c r="A47" i="10"/>
  <c r="A74" i="10"/>
  <c r="A75" i="10"/>
  <c r="A76" i="10"/>
  <c r="A28" i="10"/>
  <c r="A55" i="10"/>
  <c r="C5" i="10"/>
  <c r="C6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4" i="10"/>
</calcChain>
</file>

<file path=xl/sharedStrings.xml><?xml version="1.0" encoding="utf-8"?>
<sst xmlns="http://schemas.openxmlformats.org/spreadsheetml/2006/main" count="579" uniqueCount="474">
  <si>
    <t>Per motor cycle</t>
    <phoneticPr fontId="12" type="noConversion"/>
  </si>
  <si>
    <t xml:space="preserve"> </t>
    <phoneticPr fontId="12" type="noConversion"/>
  </si>
  <si>
    <t>Annual increases</t>
    <phoneticPr fontId="12" type="noConversion"/>
  </si>
  <si>
    <t>Motor cycle direct fuel costs</t>
    <phoneticPr fontId="12" type="noConversion"/>
  </si>
  <si>
    <t>Certification costs</t>
    <phoneticPr fontId="12" type="noConversion"/>
  </si>
  <si>
    <t xml:space="preserve"> </t>
    <phoneticPr fontId="12" type="noConversion"/>
  </si>
  <si>
    <t>per product</t>
    <phoneticPr fontId="12" type="noConversion"/>
  </si>
  <si>
    <t>Number of products</t>
    <phoneticPr fontId="12" type="noConversion"/>
  </si>
  <si>
    <t>Additional annual charge</t>
    <phoneticPr fontId="12" type="noConversion"/>
  </si>
  <si>
    <t>TOTAL</t>
    <phoneticPr fontId="12" type="noConversion"/>
  </si>
  <si>
    <t>Base units</t>
    <phoneticPr fontId="12" type="noConversion"/>
  </si>
  <si>
    <t>Analysis costs</t>
    <phoneticPr fontId="12" type="noConversion"/>
  </si>
  <si>
    <t>Annual oil production (kg)</t>
    <phoneticPr fontId="12" type="noConversion"/>
  </si>
  <si>
    <t>Seed sales to 3rd parties (kg)</t>
    <phoneticPr fontId="12" type="noConversion"/>
  </si>
  <si>
    <t>Seed retained for own oil production</t>
    <phoneticPr fontId="12" type="noConversion"/>
  </si>
  <si>
    <t>Bulk storage 20 kg containers for sale</t>
    <phoneticPr fontId="12" type="noConversion"/>
  </si>
  <si>
    <t>Bulk storage 1 kg containers for sale</t>
    <phoneticPr fontId="12" type="noConversion"/>
  </si>
  <si>
    <t>Bulk storage 2 kg containers for sale</t>
    <phoneticPr fontId="12" type="noConversion"/>
  </si>
  <si>
    <t>Bulk storage 5 kg containers for sale</t>
    <phoneticPr fontId="12" type="noConversion"/>
  </si>
  <si>
    <t>1 kg Bulk sale</t>
    <phoneticPr fontId="12" type="noConversion"/>
  </si>
  <si>
    <t>2 kg Bulk sale</t>
    <phoneticPr fontId="12" type="noConversion"/>
  </si>
  <si>
    <t>5 kg bulk sale</t>
    <phoneticPr fontId="12" type="noConversion"/>
  </si>
  <si>
    <t>Corporate Tax Rate</t>
    <phoneticPr fontId="12" type="noConversion"/>
  </si>
  <si>
    <t>Tax</t>
    <phoneticPr fontId="12" type="noConversion"/>
  </si>
  <si>
    <t>PROFIT AFTER TAX</t>
    <phoneticPr fontId="12" type="noConversion"/>
  </si>
  <si>
    <t>Tax Paid</t>
    <phoneticPr fontId="12" type="noConversion"/>
  </si>
  <si>
    <t>Less:</t>
    <phoneticPr fontId="12" type="noConversion"/>
  </si>
  <si>
    <t>Cash at Bank</t>
    <phoneticPr fontId="12" type="noConversion"/>
  </si>
  <si>
    <t>TOTAL ASSETS</t>
    <phoneticPr fontId="12" type="noConversion"/>
  </si>
  <si>
    <t>LIABILITIES</t>
    <phoneticPr fontId="12" type="noConversion"/>
  </si>
  <si>
    <t>Shareholder Contributions</t>
    <phoneticPr fontId="12" type="noConversion"/>
  </si>
  <si>
    <t>Grant Funding</t>
    <phoneticPr fontId="12" type="noConversion"/>
  </si>
  <si>
    <t>Loans</t>
    <phoneticPr fontId="12" type="noConversion"/>
  </si>
  <si>
    <t>TOTAL LIABILITIES</t>
    <phoneticPr fontId="12" type="noConversion"/>
  </si>
  <si>
    <t xml:space="preserve"> </t>
    <phoneticPr fontId="12" type="noConversion"/>
  </si>
  <si>
    <t>ASSETS</t>
    <phoneticPr fontId="12" type="noConversion"/>
  </si>
  <si>
    <t>Accumulated Profits/Losses</t>
    <phoneticPr fontId="12" type="noConversion"/>
  </si>
  <si>
    <t>Baobab pulp bought in (kg)</t>
    <phoneticPr fontId="12" type="noConversion"/>
  </si>
  <si>
    <t>Annual increase</t>
    <phoneticPr fontId="12" type="noConversion"/>
  </si>
  <si>
    <t>Cost per kg (KSh)</t>
    <phoneticPr fontId="12" type="noConversion"/>
  </si>
  <si>
    <t>Volume per sack (kg)</t>
    <phoneticPr fontId="12" type="noConversion"/>
  </si>
  <si>
    <t xml:space="preserve">Baobab pulp costs </t>
    <phoneticPr fontId="12" type="noConversion"/>
  </si>
  <si>
    <t>Direct pulp costs</t>
    <phoneticPr fontId="12" type="noConversion"/>
  </si>
  <si>
    <t>Village agents</t>
    <phoneticPr fontId="12" type="noConversion"/>
  </si>
  <si>
    <t>Analysis</t>
    <phoneticPr fontId="12" type="noConversion"/>
  </si>
  <si>
    <t>Total Analysis Costs</t>
    <phoneticPr fontId="12" type="noConversion"/>
  </si>
  <si>
    <t>Net Cash Inflows generated by the business</t>
    <phoneticPr fontId="12" type="noConversion"/>
  </si>
  <si>
    <t>Total cash generation by the Business</t>
    <phoneticPr fontId="12" type="noConversion"/>
  </si>
  <si>
    <t>Less: Outgoing Operational and Administration Cash</t>
    <phoneticPr fontId="12" type="noConversion"/>
  </si>
  <si>
    <t>Net Cash Inflow generated by the business</t>
    <phoneticPr fontId="12" type="noConversion"/>
  </si>
  <si>
    <t>Less: Investments made</t>
    <phoneticPr fontId="12" type="noConversion"/>
  </si>
  <si>
    <t>Discount Rate</t>
    <phoneticPr fontId="12" type="noConversion"/>
  </si>
  <si>
    <t>Rates of Return Calculations</t>
    <phoneticPr fontId="12" type="noConversion"/>
  </si>
  <si>
    <t>Net Over Cash Inflow/(outflow)</t>
    <phoneticPr fontId="12" type="noConversion"/>
  </si>
  <si>
    <t>Cash c/fwd</t>
    <phoneticPr fontId="12" type="noConversion"/>
  </si>
  <si>
    <t>Cash b/fwd</t>
    <phoneticPr fontId="12" type="noConversion"/>
  </si>
  <si>
    <t>Less:</t>
    <phoneticPr fontId="12" type="noConversion"/>
  </si>
  <si>
    <t>Add back - Cash generated by the business</t>
    <phoneticPr fontId="12" type="noConversion"/>
  </si>
  <si>
    <t>Add back - Investments made into the business</t>
    <phoneticPr fontId="12" type="noConversion"/>
  </si>
  <si>
    <t>NET PRESENT VALUE</t>
    <phoneticPr fontId="12" type="noConversion"/>
  </si>
  <si>
    <t>INTERNAL RATE OF RETURN</t>
    <phoneticPr fontId="12" type="noConversion"/>
  </si>
  <si>
    <t>Units kg</t>
    <phoneticPr fontId="12" type="noConversion"/>
  </si>
  <si>
    <t>Unit price</t>
    <phoneticPr fontId="12" type="noConversion"/>
  </si>
  <si>
    <t>Price/kg</t>
    <phoneticPr fontId="12" type="noConversion"/>
  </si>
  <si>
    <t>Kg sold</t>
    <phoneticPr fontId="12" type="noConversion"/>
  </si>
  <si>
    <t>per month</t>
    <phoneticPr fontId="12" type="noConversion"/>
  </si>
  <si>
    <t>months</t>
    <phoneticPr fontId="12" type="noConversion"/>
  </si>
  <si>
    <t xml:space="preserve"> </t>
    <phoneticPr fontId="12" type="noConversion"/>
  </si>
  <si>
    <t>Number of Machines</t>
    <phoneticPr fontId="12" type="noConversion"/>
  </si>
  <si>
    <t>(See Production Planning)</t>
    <phoneticPr fontId="12" type="noConversion"/>
  </si>
  <si>
    <t xml:space="preserve">Number of machines </t>
    <phoneticPr fontId="12" type="noConversion"/>
  </si>
  <si>
    <t>(See Production Planning)</t>
    <phoneticPr fontId="12" type="noConversion"/>
  </si>
  <si>
    <t>Workmen's injury benefit act &amp; Public liability</t>
    <phoneticPr fontId="12" type="noConversion"/>
  </si>
  <si>
    <t>Fixed amount per year</t>
    <phoneticPr fontId="12" type="noConversion"/>
  </si>
  <si>
    <t>Motor Bikes Fully Comp</t>
    <phoneticPr fontId="12" type="noConversion"/>
  </si>
  <si>
    <t>Per motorbike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</si>
  <si>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</si>
  <si>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</si>
  <si>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</si>
  <si>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Total Employees</t>
    <phoneticPr fontId="12" type="noConversion"/>
  </si>
  <si>
    <t xml:space="preserve"> </t>
    <phoneticPr fontId="12" type="noConversion"/>
  </si>
  <si>
    <t>Factory Clothing</t>
    <phoneticPr fontId="12" type="noConversion"/>
  </si>
  <si>
    <t>Number</t>
    <phoneticPr fontId="12" type="noConversion"/>
  </si>
  <si>
    <t>Depreciation Rate</t>
    <phoneticPr fontId="12" type="noConversion"/>
  </si>
  <si>
    <t>Oil Drums 200kg Settling</t>
    <phoneticPr fontId="12" type="noConversion"/>
  </si>
  <si>
    <t>Oil Drums 200kg Storage</t>
    <phoneticPr fontId="12" type="noConversion"/>
  </si>
  <si>
    <t>per trip</t>
    <phoneticPr fontId="12" type="noConversion"/>
  </si>
  <si>
    <t>No of trips</t>
    <phoneticPr fontId="12" type="noConversion"/>
  </si>
  <si>
    <t>Conversion rate seed to oil</t>
    <phoneticPr fontId="12" type="noConversion"/>
  </si>
  <si>
    <t>Labels for finished products and for pulp</t>
    <phoneticPr fontId="12" type="noConversion"/>
  </si>
  <si>
    <t>Detergents</t>
    <phoneticPr fontId="12" type="noConversion"/>
  </si>
  <si>
    <t>Printer/scanner</t>
    <phoneticPr fontId="12" type="noConversion"/>
  </si>
  <si>
    <t>Electronic moisture detector</t>
    <phoneticPr fontId="12" type="noConversion"/>
  </si>
  <si>
    <t>l</t>
    <phoneticPr fontId="12" type="noConversion"/>
  </si>
  <si>
    <t>m</t>
    <phoneticPr fontId="12" type="noConversion"/>
  </si>
  <si>
    <t>r</t>
    <phoneticPr fontId="12" type="noConversion"/>
  </si>
  <si>
    <t>s</t>
    <phoneticPr fontId="12" type="noConversion"/>
  </si>
  <si>
    <t>Communication costs</t>
    <phoneticPr fontId="12" type="noConversion"/>
  </si>
  <si>
    <t>Hired trucks</t>
    <phoneticPr fontId="12" type="noConversion"/>
  </si>
  <si>
    <t>Organic</t>
    <phoneticPr fontId="12" type="noConversion"/>
  </si>
  <si>
    <t>Fair trade</t>
    <phoneticPr fontId="12" type="noConversion"/>
  </si>
  <si>
    <t>KBS</t>
    <phoneticPr fontId="12" type="noConversion"/>
  </si>
  <si>
    <t>a</t>
    <phoneticPr fontId="12" type="noConversion"/>
  </si>
  <si>
    <t>b</t>
    <phoneticPr fontId="12" type="noConversion"/>
  </si>
  <si>
    <t>c</t>
    <phoneticPr fontId="12" type="noConversion"/>
  </si>
  <si>
    <t>d</t>
    <phoneticPr fontId="12" type="noConversion"/>
  </si>
  <si>
    <t>HACCP</t>
    <phoneticPr fontId="12" type="noConversion"/>
  </si>
  <si>
    <t>ISO??</t>
    <phoneticPr fontId="12" type="noConversion"/>
  </si>
  <si>
    <t>Fairwild</t>
    <phoneticPr fontId="12" type="noConversion"/>
  </si>
  <si>
    <t xml:space="preserve"> </t>
    <phoneticPr fontId="12" type="noConversion"/>
  </si>
  <si>
    <t>Sept - Dec</t>
    <phoneticPr fontId="12" type="noConversion"/>
  </si>
  <si>
    <t>Activity</t>
    <phoneticPr fontId="12" type="noConversion"/>
  </si>
  <si>
    <t>Baobab pulp purchasing (kg)</t>
    <phoneticPr fontId="12" type="noConversion"/>
  </si>
  <si>
    <t>Baobab Seed production</t>
    <phoneticPr fontId="12" type="noConversion"/>
  </si>
  <si>
    <t>Baobab oil production</t>
    <phoneticPr fontId="12" type="noConversion"/>
  </si>
  <si>
    <t>Annual seedcake production (kg)</t>
    <phoneticPr fontId="12" type="noConversion"/>
  </si>
  <si>
    <t>1i</t>
    <phoneticPr fontId="12" type="noConversion"/>
  </si>
  <si>
    <t>Laundry and cleaning</t>
    <phoneticPr fontId="12" type="noConversion"/>
  </si>
  <si>
    <t>toiletries</t>
    <phoneticPr fontId="12" type="noConversion"/>
  </si>
  <si>
    <t>Filing cabinets</t>
    <phoneticPr fontId="12" type="noConversion"/>
  </si>
  <si>
    <t>Computers</t>
    <phoneticPr fontId="12" type="noConversion"/>
  </si>
  <si>
    <t>Desk top</t>
    <phoneticPr fontId="12" type="noConversion"/>
  </si>
  <si>
    <t>Lap top</t>
    <phoneticPr fontId="12" type="noConversion"/>
  </si>
  <si>
    <t>Cleaning materials</t>
    <phoneticPr fontId="12" type="noConversion"/>
  </si>
  <si>
    <t>20 kg bulk sale</t>
    <phoneticPr fontId="12" type="noConversion"/>
  </si>
  <si>
    <t>stainless steel funnels</t>
    <phoneticPr fontId="12" type="noConversion"/>
  </si>
  <si>
    <t>g</t>
    <phoneticPr fontId="12" type="noConversion"/>
  </si>
  <si>
    <t>Field Sewing machine</t>
    <phoneticPr fontId="12" type="noConversion"/>
  </si>
  <si>
    <t>Factory sewing machine</t>
    <phoneticPr fontId="12" type="noConversion"/>
  </si>
  <si>
    <t>k</t>
    <phoneticPr fontId="12" type="noConversion"/>
  </si>
  <si>
    <t>Motor cycles</t>
    <phoneticPr fontId="12" type="noConversion"/>
  </si>
  <si>
    <t>125 micron stainless steel sieves</t>
    <phoneticPr fontId="12" type="noConversion"/>
  </si>
  <si>
    <t>h</t>
    <phoneticPr fontId="12" type="noConversion"/>
  </si>
  <si>
    <t>i</t>
    <phoneticPr fontId="12" type="noConversion"/>
  </si>
  <si>
    <t>j</t>
    <phoneticPr fontId="12" type="noConversion"/>
  </si>
  <si>
    <t>High pressure cleaning hoses</t>
    <phoneticPr fontId="12" type="noConversion"/>
  </si>
  <si>
    <t>n</t>
    <phoneticPr fontId="12" type="noConversion"/>
  </si>
  <si>
    <t>Stationery</t>
    <phoneticPr fontId="12" type="noConversion"/>
  </si>
  <si>
    <t>Gum boots</t>
    <phoneticPr fontId="12" type="noConversion"/>
  </si>
  <si>
    <t>Face masks</t>
    <phoneticPr fontId="12" type="noConversion"/>
  </si>
  <si>
    <t>Overalls</t>
    <phoneticPr fontId="12" type="noConversion"/>
  </si>
  <si>
    <t>Hair nets</t>
    <phoneticPr fontId="12" type="noConversion"/>
  </si>
  <si>
    <t>Accountancy</t>
    <phoneticPr fontId="12" type="noConversion"/>
  </si>
  <si>
    <t>200  kg storage</t>
    <phoneticPr fontId="12" type="noConversion"/>
  </si>
  <si>
    <t>Electronic scales</t>
    <phoneticPr fontId="12" type="noConversion"/>
  </si>
  <si>
    <t>Trolleys</t>
    <phoneticPr fontId="12" type="noConversion"/>
  </si>
  <si>
    <t>Sacks for pulp buying</t>
    <phoneticPr fontId="12" type="noConversion"/>
  </si>
  <si>
    <t>Sacks for sale of powder</t>
    <phoneticPr fontId="12" type="noConversion"/>
  </si>
  <si>
    <t>No of months</t>
    <phoneticPr fontId="12" type="noConversion"/>
  </si>
  <si>
    <t>Transport from villages to factory costs</t>
    <phoneticPr fontId="12" type="noConversion"/>
  </si>
  <si>
    <t>Pulp cost collection - Hired trucks</t>
    <phoneticPr fontId="12" type="noConversion"/>
  </si>
  <si>
    <t>Ave trip cost</t>
    <phoneticPr fontId="12" type="noConversion"/>
  </si>
  <si>
    <t xml:space="preserve"> </t>
    <phoneticPr fontId="12" type="noConversion"/>
  </si>
  <si>
    <t>Machinery and Equipment</t>
    <phoneticPr fontId="12" type="noConversion"/>
  </si>
  <si>
    <t>Less: Accumulated depreciation</t>
    <phoneticPr fontId="12" type="noConversion"/>
  </si>
  <si>
    <t>Net Value Equipment</t>
    <phoneticPr fontId="12" type="noConversion"/>
  </si>
  <si>
    <t>Raw Material Baobab Pulp Stocks</t>
    <phoneticPr fontId="12" type="noConversion"/>
  </si>
  <si>
    <t>Pulp separation machine capacity (Penn State) kg/hr</t>
    <phoneticPr fontId="12" type="noConversion"/>
  </si>
  <si>
    <t>Discount rate for down time etc</t>
    <phoneticPr fontId="12" type="noConversion"/>
  </si>
  <si>
    <t>Baobab sacks costs</t>
    <phoneticPr fontId="12" type="noConversion"/>
  </si>
  <si>
    <t>Baobab pulp bulk processing required (kg)</t>
    <phoneticPr fontId="12" type="noConversion"/>
  </si>
  <si>
    <t>Penn State Processor no of machines</t>
    <phoneticPr fontId="12" type="noConversion"/>
  </si>
  <si>
    <t>Daily processing capacity</t>
    <phoneticPr fontId="12" type="noConversion"/>
  </si>
  <si>
    <t>Days processing required</t>
    <phoneticPr fontId="12" type="noConversion"/>
  </si>
  <si>
    <t>Annual powder production (kg)</t>
    <phoneticPr fontId="12" type="noConversion"/>
  </si>
  <si>
    <t>Factory operating dynamics</t>
    <phoneticPr fontId="12" type="noConversion"/>
  </si>
  <si>
    <t>Sept-Dec</t>
    <phoneticPr fontId="12" type="noConversion"/>
  </si>
  <si>
    <t>Jan-Mar</t>
    <phoneticPr fontId="12" type="noConversion"/>
  </si>
  <si>
    <t>Number of sacks for final packing</t>
    <phoneticPr fontId="12" type="noConversion"/>
  </si>
  <si>
    <t>Oil drums</t>
    <phoneticPr fontId="12" type="noConversion"/>
  </si>
  <si>
    <t>Number of villages</t>
    <phoneticPr fontId="12" type="noConversion"/>
  </si>
  <si>
    <t>Training sessions</t>
    <phoneticPr fontId="12" type="noConversion"/>
  </si>
  <si>
    <t>Monthly rate</t>
    <phoneticPr fontId="12" type="noConversion"/>
  </si>
  <si>
    <t xml:space="preserve"> </t>
    <phoneticPr fontId="12" type="noConversion"/>
  </si>
  <si>
    <t>Cost per training (KSh)</t>
    <phoneticPr fontId="12" type="noConversion"/>
  </si>
  <si>
    <t>Annual training sessions</t>
    <phoneticPr fontId="12" type="noConversion"/>
  </si>
  <si>
    <t>Annual agent costs</t>
    <phoneticPr fontId="12" type="noConversion"/>
  </si>
  <si>
    <t>Labour costs</t>
    <phoneticPr fontId="12" type="noConversion"/>
  </si>
  <si>
    <t>Labourers per village</t>
    <phoneticPr fontId="12" type="noConversion"/>
  </si>
  <si>
    <t>Labour loading etc)</t>
    <phoneticPr fontId="12" type="noConversion"/>
  </si>
  <si>
    <t>Community collection costs</t>
    <phoneticPr fontId="12" type="noConversion"/>
  </si>
  <si>
    <t>Total Community collection costs</t>
    <phoneticPr fontId="12" type="noConversion"/>
  </si>
  <si>
    <t>Conversion rate pulp to powder</t>
    <phoneticPr fontId="12" type="noConversion"/>
  </si>
  <si>
    <t>Annual seed production (kg)</t>
    <phoneticPr fontId="12" type="noConversion"/>
  </si>
  <si>
    <t>Conversion rate pulp to seed</t>
    <phoneticPr fontId="12" type="noConversion"/>
  </si>
  <si>
    <t>Factory clothing</t>
    <phoneticPr fontId="12" type="noConversion"/>
  </si>
  <si>
    <t>1a</t>
    <phoneticPr fontId="12" type="noConversion"/>
  </si>
  <si>
    <t>Management</t>
    <phoneticPr fontId="12" type="noConversion"/>
  </si>
  <si>
    <t>1b</t>
    <phoneticPr fontId="12" type="noConversion"/>
  </si>
  <si>
    <t>Supervision</t>
    <phoneticPr fontId="12" type="noConversion"/>
  </si>
  <si>
    <t>1c</t>
    <phoneticPr fontId="12" type="noConversion"/>
  </si>
  <si>
    <t>Machine operators</t>
    <phoneticPr fontId="12" type="noConversion"/>
  </si>
  <si>
    <t>1ci</t>
    <phoneticPr fontId="12" type="noConversion"/>
  </si>
  <si>
    <t>1cii</t>
    <phoneticPr fontId="12" type="noConversion"/>
  </si>
  <si>
    <t>1d</t>
    <phoneticPr fontId="12" type="noConversion"/>
  </si>
  <si>
    <t>Labourers</t>
    <phoneticPr fontId="12" type="noConversion"/>
  </si>
  <si>
    <t>1e</t>
    <phoneticPr fontId="12" type="noConversion"/>
  </si>
  <si>
    <t>Factory</t>
    <phoneticPr fontId="12" type="noConversion"/>
  </si>
  <si>
    <t>Collection</t>
    <phoneticPr fontId="12" type="noConversion"/>
  </si>
  <si>
    <t>1f</t>
    <phoneticPr fontId="12" type="noConversion"/>
  </si>
  <si>
    <t>1g</t>
    <phoneticPr fontId="12" type="noConversion"/>
  </si>
  <si>
    <t>1h</t>
    <phoneticPr fontId="12" type="noConversion"/>
  </si>
  <si>
    <t>a</t>
    <phoneticPr fontId="12" type="noConversion"/>
  </si>
  <si>
    <t xml:space="preserve"> </t>
    <phoneticPr fontId="12" type="noConversion"/>
  </si>
  <si>
    <t>% powder from pulp</t>
    <phoneticPr fontId="12" type="noConversion"/>
  </si>
  <si>
    <t>% wastage</t>
    <phoneticPr fontId="12" type="noConversion"/>
  </si>
  <si>
    <t>a</t>
    <phoneticPr fontId="12" type="noConversion"/>
  </si>
  <si>
    <t>Depulping machine</t>
    <phoneticPr fontId="12" type="noConversion"/>
  </si>
  <si>
    <t>Cost per KwH</t>
    <phoneticPr fontId="12" type="noConversion"/>
  </si>
  <si>
    <t>b</t>
    <phoneticPr fontId="12" type="noConversion"/>
  </si>
  <si>
    <t>Oil press</t>
    <phoneticPr fontId="12" type="noConversion"/>
  </si>
  <si>
    <t>c</t>
    <phoneticPr fontId="12" type="noConversion"/>
  </si>
  <si>
    <t>Water costs</t>
    <phoneticPr fontId="12" type="noConversion"/>
  </si>
  <si>
    <t>per month</t>
    <phoneticPr fontId="12" type="noConversion"/>
  </si>
  <si>
    <t>d</t>
    <phoneticPr fontId="12" type="noConversion"/>
  </si>
  <si>
    <t>Washroom consumable provisions</t>
    <phoneticPr fontId="12" type="noConversion"/>
  </si>
  <si>
    <t>Factory rental</t>
    <phoneticPr fontId="12" type="noConversion"/>
  </si>
  <si>
    <t>a</t>
    <phoneticPr fontId="12" type="noConversion"/>
  </si>
  <si>
    <t>Depulping machine</t>
    <phoneticPr fontId="12" type="noConversion"/>
  </si>
  <si>
    <t>Oil press</t>
    <phoneticPr fontId="12" type="noConversion"/>
  </si>
  <si>
    <t>Total Outgoing Operational &amp; Administration Cash</t>
    <phoneticPr fontId="12" type="noConversion"/>
  </si>
  <si>
    <t>Total Cash generated by the business</t>
    <phoneticPr fontId="12" type="noConversion"/>
  </si>
  <si>
    <t>Annual Investments in equipment</t>
    <phoneticPr fontId="12" type="noConversion"/>
  </si>
  <si>
    <t>Cleaning and maintenance</t>
    <phoneticPr fontId="12" type="noConversion"/>
  </si>
  <si>
    <t>o</t>
    <phoneticPr fontId="12" type="noConversion"/>
  </si>
  <si>
    <t>p</t>
    <phoneticPr fontId="12" type="noConversion"/>
  </si>
  <si>
    <t>q</t>
    <phoneticPr fontId="12" type="noConversion"/>
  </si>
  <si>
    <t>Bulk storage labels</t>
    <phoneticPr fontId="12" type="noConversion"/>
  </si>
  <si>
    <t>Total Operating Costs Baobab Seed for Sale</t>
    <phoneticPr fontId="12" type="noConversion"/>
  </si>
  <si>
    <t>Baobab seed for sale production costs</t>
    <phoneticPr fontId="12" type="noConversion"/>
  </si>
  <si>
    <t>Baobab Seed Sales Revenue</t>
    <phoneticPr fontId="12" type="noConversion"/>
  </si>
  <si>
    <t>Baobab Seed Sales Direct Costs</t>
    <phoneticPr fontId="12" type="noConversion"/>
  </si>
  <si>
    <t>Baobab Seed Sales Revenue Gross Profit</t>
    <phoneticPr fontId="12" type="noConversion"/>
  </si>
  <si>
    <t>Investment Schedule - Units</t>
    <phoneticPr fontId="12" type="noConversion"/>
  </si>
  <si>
    <t>Miscellaneous costs</t>
    <phoneticPr fontId="12" type="noConversion"/>
  </si>
  <si>
    <t>Clerical</t>
    <phoneticPr fontId="12" type="noConversion"/>
  </si>
  <si>
    <t>Insurance</t>
    <phoneticPr fontId="12" type="noConversion"/>
  </si>
  <si>
    <t>e</t>
    <phoneticPr fontId="12" type="noConversion"/>
  </si>
  <si>
    <t>f</t>
    <phoneticPr fontId="12" type="noConversion"/>
  </si>
  <si>
    <t>c</t>
    <phoneticPr fontId="12" type="noConversion"/>
  </si>
  <si>
    <t>General electricity</t>
    <phoneticPr fontId="12" type="noConversion"/>
  </si>
  <si>
    <t>Maintenance</t>
    <phoneticPr fontId="12" type="noConversion"/>
  </si>
  <si>
    <t>Sacks for seed storage and sale</t>
    <phoneticPr fontId="12" type="noConversion"/>
  </si>
  <si>
    <t>e</t>
    <phoneticPr fontId="12" type="noConversion"/>
  </si>
  <si>
    <t>g</t>
    <phoneticPr fontId="12" type="noConversion"/>
  </si>
  <si>
    <t>k</t>
    <phoneticPr fontId="12" type="noConversion"/>
  </si>
  <si>
    <t>l</t>
    <phoneticPr fontId="12" type="noConversion"/>
  </si>
  <si>
    <t>Sacks for seedcake storage and sale</t>
    <phoneticPr fontId="12" type="noConversion"/>
  </si>
  <si>
    <t>Oil processor 2YL no of machines</t>
    <phoneticPr fontId="12" type="noConversion"/>
  </si>
  <si>
    <t>Days processing required own production</t>
    <phoneticPr fontId="12" type="noConversion"/>
  </si>
  <si>
    <t>Number of 20 kg drums required</t>
    <phoneticPr fontId="12" type="noConversion"/>
  </si>
  <si>
    <t>Costs Ksh/each</t>
    <phoneticPr fontId="12" type="noConversion"/>
  </si>
  <si>
    <t>Daily processing capacity (kg)</t>
    <phoneticPr fontId="12" type="noConversion"/>
  </si>
  <si>
    <t>b</t>
    <phoneticPr fontId="12" type="noConversion"/>
  </si>
  <si>
    <t>Oil pressing</t>
    <phoneticPr fontId="12" type="noConversion"/>
  </si>
  <si>
    <t>Oil processing capacity (2YL)</t>
    <phoneticPr fontId="12" type="noConversion"/>
  </si>
  <si>
    <t>Seed kg/day</t>
    <phoneticPr fontId="12" type="noConversion"/>
  </si>
  <si>
    <t>% seed for oil production</t>
    <phoneticPr fontId="12" type="noConversion"/>
  </si>
  <si>
    <t>% oil from seed</t>
    <phoneticPr fontId="12" type="noConversion"/>
  </si>
  <si>
    <t>Annual production</t>
    <phoneticPr fontId="12" type="noConversion"/>
  </si>
  <si>
    <t>Volume (kg)</t>
    <phoneticPr fontId="12" type="noConversion"/>
  </si>
  <si>
    <t>Seedcake production</t>
    <phoneticPr fontId="12" type="noConversion"/>
  </si>
  <si>
    <t>Number of sacks required for sale/disposal</t>
    <phoneticPr fontId="12" type="noConversion"/>
  </si>
  <si>
    <t>Bulk storage sacks</t>
    <phoneticPr fontId="12" type="noConversion"/>
  </si>
  <si>
    <t>g</t>
    <phoneticPr fontId="12" type="noConversion"/>
  </si>
  <si>
    <t>Cleaning &amp; maintenance - baobab depulping</t>
    <phoneticPr fontId="12" type="noConversion"/>
  </si>
  <si>
    <t>Percentage direct operating &amp; depreciation costs</t>
    <phoneticPr fontId="12" type="noConversion"/>
  </si>
  <si>
    <t>h</t>
    <phoneticPr fontId="12" type="noConversion"/>
  </si>
  <si>
    <t>Cleaning &amp; maintenance - oil processing</t>
    <phoneticPr fontId="12" type="noConversion"/>
  </si>
  <si>
    <t>Percentage direct operating &amp; depreciation costs</t>
    <phoneticPr fontId="12" type="noConversion"/>
  </si>
  <si>
    <t>Ave weight per trip (kg)</t>
    <phoneticPr fontId="12" type="noConversion"/>
  </si>
  <si>
    <t>Number of trips</t>
    <phoneticPr fontId="12" type="noConversion"/>
  </si>
  <si>
    <t>Baobab Powder production</t>
    <phoneticPr fontId="12" type="noConversion"/>
  </si>
  <si>
    <t>Sept-Dec</t>
    <phoneticPr fontId="12" type="noConversion"/>
  </si>
  <si>
    <t>Jan-Mar</t>
    <phoneticPr fontId="12" type="noConversion"/>
  </si>
  <si>
    <t>Jan-Dec</t>
    <phoneticPr fontId="12" type="noConversion"/>
  </si>
  <si>
    <t>Target Volume</t>
    <phoneticPr fontId="12" type="noConversion"/>
  </si>
  <si>
    <t>Miscellaneous costs</t>
    <phoneticPr fontId="12" type="noConversion"/>
  </si>
  <si>
    <t>Cleaning and maintenance</t>
    <phoneticPr fontId="12" type="noConversion"/>
  </si>
  <si>
    <t xml:space="preserve"> </t>
    <phoneticPr fontId="12" type="noConversion"/>
  </si>
  <si>
    <t>Baobab Oil sales</t>
    <phoneticPr fontId="12" type="noConversion"/>
  </si>
  <si>
    <t>Unit price</t>
    <phoneticPr fontId="12" type="noConversion"/>
  </si>
  <si>
    <t>Total Revenue Baobab Oil</t>
    <phoneticPr fontId="12" type="noConversion"/>
  </si>
  <si>
    <t>Baobab seedcake sales revenue</t>
    <phoneticPr fontId="12" type="noConversion"/>
  </si>
  <si>
    <t>Baobab Powder Revenue</t>
    <phoneticPr fontId="12" type="noConversion"/>
  </si>
  <si>
    <t>Total Trade Fair Attendance</t>
    <phoneticPr fontId="12" type="noConversion"/>
  </si>
  <si>
    <t>Total Promotional Material</t>
    <phoneticPr fontId="12" type="noConversion"/>
  </si>
  <si>
    <t>Total Advertising</t>
    <phoneticPr fontId="12" type="noConversion"/>
  </si>
  <si>
    <t>Total Customer Visits</t>
    <phoneticPr fontId="12" type="noConversion"/>
  </si>
  <si>
    <t>Total Marketing Costs</t>
    <phoneticPr fontId="12" type="noConversion"/>
  </si>
  <si>
    <t xml:space="preserve"> </t>
    <phoneticPr fontId="12" type="noConversion"/>
  </si>
  <si>
    <t>Investment Schedule - Value KSh</t>
    <phoneticPr fontId="12" type="noConversion"/>
  </si>
  <si>
    <t>Annual Depreciation KSh</t>
    <phoneticPr fontId="12" type="noConversion"/>
  </si>
  <si>
    <t>Annual Depreciation Charge</t>
    <phoneticPr fontId="12" type="noConversion"/>
  </si>
  <si>
    <t>Annual Investment Requirements</t>
    <phoneticPr fontId="12" type="noConversion"/>
  </si>
  <si>
    <t>Powder</t>
    <phoneticPr fontId="12" type="noConversion"/>
  </si>
  <si>
    <t>Seed</t>
    <phoneticPr fontId="12" type="noConversion"/>
  </si>
  <si>
    <t>200 kg settling</t>
    <phoneticPr fontId="12" type="noConversion"/>
  </si>
  <si>
    <t>Nitrogen</t>
    <phoneticPr fontId="12" type="noConversion"/>
  </si>
  <si>
    <t>flushing</t>
    <phoneticPr fontId="12" type="noConversion"/>
  </si>
  <si>
    <t>Oil decanting</t>
    <phoneticPr fontId="12" type="noConversion"/>
  </si>
  <si>
    <t>f</t>
    <phoneticPr fontId="12" type="noConversion"/>
  </si>
  <si>
    <t>Nitrogen flushing</t>
    <phoneticPr fontId="12" type="noConversion"/>
  </si>
  <si>
    <t>soap</t>
    <phoneticPr fontId="12" type="noConversion"/>
  </si>
  <si>
    <t>Laundry</t>
    <phoneticPr fontId="12" type="noConversion"/>
  </si>
  <si>
    <t>Mabuyu Cash Flows</t>
    <phoneticPr fontId="12" type="noConversion"/>
  </si>
  <si>
    <t>Accountancy service</t>
    <phoneticPr fontId="12" type="noConversion"/>
  </si>
  <si>
    <t>General electrical usage</t>
    <phoneticPr fontId="12" type="noConversion"/>
  </si>
  <si>
    <t>General water usage</t>
    <phoneticPr fontId="12" type="noConversion"/>
  </si>
  <si>
    <t>Communication costs</t>
    <phoneticPr fontId="12" type="noConversion"/>
  </si>
  <si>
    <t>Washroom consumables and laundry</t>
    <phoneticPr fontId="12" type="noConversion"/>
  </si>
  <si>
    <t>Security service</t>
    <phoneticPr fontId="12" type="noConversion"/>
  </si>
  <si>
    <t>Local transport and collection costs</t>
    <phoneticPr fontId="12" type="noConversion"/>
  </si>
  <si>
    <t xml:space="preserve"> </t>
    <phoneticPr fontId="12" type="noConversion"/>
  </si>
  <si>
    <t>Monthly charge</t>
    <phoneticPr fontId="12" type="noConversion"/>
  </si>
  <si>
    <t>Number of months</t>
    <phoneticPr fontId="12" type="noConversion"/>
  </si>
  <si>
    <t>h</t>
    <phoneticPr fontId="12" type="noConversion"/>
  </si>
  <si>
    <t>Guards number</t>
    <phoneticPr fontId="12" type="noConversion"/>
  </si>
  <si>
    <t>Security external service</t>
    <phoneticPr fontId="12" type="noConversion"/>
  </si>
  <si>
    <t>Shifts</t>
    <phoneticPr fontId="12" type="noConversion"/>
  </si>
  <si>
    <t>Rate per guard per shift per month</t>
    <phoneticPr fontId="12" type="noConversion"/>
  </si>
  <si>
    <t>Licences</t>
    <phoneticPr fontId="12" type="noConversion"/>
  </si>
  <si>
    <t>Factory building &amp; equipment</t>
    <phoneticPr fontId="12" type="noConversion"/>
  </si>
  <si>
    <t>Percentage of equipment value</t>
    <phoneticPr fontId="12" type="noConversion"/>
  </si>
  <si>
    <t>per month</t>
    <phoneticPr fontId="12" type="noConversion"/>
  </si>
  <si>
    <t>months</t>
    <phoneticPr fontId="12" type="noConversion"/>
  </si>
  <si>
    <t>months</t>
    <phoneticPr fontId="12" type="noConversion"/>
  </si>
  <si>
    <t>h</t>
    <phoneticPr fontId="12" type="noConversion"/>
  </si>
  <si>
    <t>j</t>
    <phoneticPr fontId="12" type="noConversion"/>
  </si>
  <si>
    <t xml:space="preserve"> </t>
    <phoneticPr fontId="12" type="noConversion"/>
  </si>
  <si>
    <t>Totals</t>
    <phoneticPr fontId="12" type="noConversion"/>
  </si>
  <si>
    <t>Totals</t>
    <phoneticPr fontId="12" type="noConversion"/>
  </si>
  <si>
    <t>Direct machinery operating costs</t>
    <phoneticPr fontId="12" type="noConversion"/>
  </si>
  <si>
    <t>Electricity</t>
    <phoneticPr fontId="12" type="noConversion"/>
  </si>
  <si>
    <t>Machine operators</t>
    <phoneticPr fontId="12" type="noConversion"/>
  </si>
  <si>
    <t>Mops, brooms etc</t>
    <phoneticPr fontId="12" type="noConversion"/>
  </si>
  <si>
    <t>Cost per label</t>
    <phoneticPr fontId="12" type="noConversion"/>
  </si>
  <si>
    <t>Labels</t>
    <phoneticPr fontId="12" type="noConversion"/>
  </si>
  <si>
    <t>Bulk buying sacks</t>
    <phoneticPr fontId="12" type="noConversion"/>
  </si>
  <si>
    <t>Bulk storage labels</t>
    <phoneticPr fontId="12" type="noConversion"/>
  </si>
  <si>
    <t>Occasional local purchase trips</t>
    <phoneticPr fontId="12" type="noConversion"/>
  </si>
  <si>
    <t>Cost per sack</t>
    <phoneticPr fontId="12" type="noConversion"/>
  </si>
  <si>
    <t>Oil press operators</t>
    <phoneticPr fontId="12" type="noConversion"/>
  </si>
  <si>
    <t>Seedcake</t>
    <phoneticPr fontId="12" type="noConversion"/>
  </si>
  <si>
    <t>Baobab seed sales revenue</t>
    <phoneticPr fontId="12" type="noConversion"/>
  </si>
  <si>
    <t>Bulk storage sacks</t>
    <phoneticPr fontId="12" type="noConversion"/>
  </si>
  <si>
    <t>No of people</t>
    <phoneticPr fontId="12" type="noConversion"/>
  </si>
  <si>
    <t>Monthly rate</t>
    <phoneticPr fontId="12" type="noConversion"/>
  </si>
  <si>
    <t>No of months</t>
    <phoneticPr fontId="12" type="noConversion"/>
  </si>
  <si>
    <t>Personnel</t>
    <phoneticPr fontId="12" type="noConversion"/>
  </si>
  <si>
    <t>Baobab processing parametres</t>
    <phoneticPr fontId="12" type="noConversion"/>
  </si>
  <si>
    <t>%</t>
    <phoneticPr fontId="12" type="noConversion"/>
  </si>
  <si>
    <t>Services</t>
    <phoneticPr fontId="12" type="noConversion"/>
  </si>
  <si>
    <t>Equipment</t>
    <phoneticPr fontId="12" type="noConversion"/>
  </si>
  <si>
    <t>Number</t>
    <phoneticPr fontId="12" type="noConversion"/>
  </si>
  <si>
    <t>Cost/unit</t>
    <phoneticPr fontId="12" type="noConversion"/>
  </si>
  <si>
    <t>Annual depreciation rate</t>
    <phoneticPr fontId="12" type="noConversion"/>
  </si>
  <si>
    <t>Annual depreciation/unit</t>
    <phoneticPr fontId="12" type="noConversion"/>
  </si>
  <si>
    <t>Consumable production costs</t>
    <phoneticPr fontId="12" type="noConversion"/>
  </si>
  <si>
    <t>Revenues</t>
    <phoneticPr fontId="12" type="noConversion"/>
  </si>
  <si>
    <t>Baobab pulp buying (KSh)</t>
    <phoneticPr fontId="12" type="noConversion"/>
  </si>
  <si>
    <t>Total Raw material costs</t>
    <phoneticPr fontId="12" type="noConversion"/>
  </si>
  <si>
    <t>Processing costs</t>
    <phoneticPr fontId="12" type="noConversion"/>
  </si>
  <si>
    <t>Baobab powder separation, sieving and bulking</t>
    <phoneticPr fontId="12" type="noConversion"/>
  </si>
  <si>
    <t>Total Operating Costs Baobab powder production</t>
    <phoneticPr fontId="12" type="noConversion"/>
  </si>
  <si>
    <t>Baobab oil processing and bulking</t>
    <phoneticPr fontId="12" type="noConversion"/>
  </si>
  <si>
    <t>Total Operating costs Baobab oil production</t>
    <phoneticPr fontId="12" type="noConversion"/>
  </si>
  <si>
    <t>Baobab seed cake production costs</t>
    <phoneticPr fontId="12" type="noConversion"/>
  </si>
  <si>
    <t xml:space="preserve"> </t>
    <phoneticPr fontId="12" type="noConversion"/>
  </si>
  <si>
    <t>Depulping per mc</t>
    <phoneticPr fontId="12" type="noConversion"/>
  </si>
  <si>
    <t>Oil press per mc</t>
    <phoneticPr fontId="12" type="noConversion"/>
  </si>
  <si>
    <t>Market Development</t>
    <phoneticPr fontId="12" type="noConversion"/>
  </si>
  <si>
    <t>General Manager</t>
    <phoneticPr fontId="12" type="noConversion"/>
  </si>
  <si>
    <t>Market Development Manager</t>
    <phoneticPr fontId="12" type="noConversion"/>
  </si>
  <si>
    <t>Operations Manager</t>
    <phoneticPr fontId="12" type="noConversion"/>
  </si>
  <si>
    <t>Baobab Oil Direct Costs</t>
    <phoneticPr fontId="12" type="noConversion"/>
  </si>
  <si>
    <t>Baobab Seedcake Revenue</t>
    <phoneticPr fontId="12" type="noConversion"/>
  </si>
  <si>
    <t>Baobab Seedcake Direct Costs</t>
    <phoneticPr fontId="12" type="noConversion"/>
  </si>
  <si>
    <t>Baobab Seedcake Gross Profit</t>
    <phoneticPr fontId="12" type="noConversion"/>
  </si>
  <si>
    <t>KSh</t>
    <phoneticPr fontId="12" type="noConversion"/>
  </si>
  <si>
    <t>Baobab Raw Material Costs</t>
    <phoneticPr fontId="12" type="noConversion"/>
  </si>
  <si>
    <t>Baobab Powder Direct Operating Costs</t>
    <phoneticPr fontId="12" type="noConversion"/>
  </si>
  <si>
    <t>Baobab Powder Gross Profit</t>
    <phoneticPr fontId="12" type="noConversion"/>
  </si>
  <si>
    <t>Baobab Oil Gross Profit</t>
    <phoneticPr fontId="12" type="noConversion"/>
  </si>
  <si>
    <t>COMBINED GROSS PROFIT</t>
    <phoneticPr fontId="12" type="noConversion"/>
  </si>
  <si>
    <t>Administration Costs</t>
    <phoneticPr fontId="12" type="noConversion"/>
  </si>
  <si>
    <t>Baobab Oil sales revenue</t>
    <phoneticPr fontId="12" type="noConversion"/>
  </si>
  <si>
    <t>Baobab seedcake sales revenue</t>
    <phoneticPr fontId="12" type="noConversion"/>
  </si>
  <si>
    <t>Baobab powder sales</t>
    <phoneticPr fontId="12" type="noConversion"/>
  </si>
  <si>
    <t>Units kg</t>
    <phoneticPr fontId="12" type="noConversion"/>
  </si>
  <si>
    <t>Unit Price</t>
    <phoneticPr fontId="12" type="noConversion"/>
  </si>
  <si>
    <t>Price/kg</t>
    <phoneticPr fontId="12" type="noConversion"/>
  </si>
  <si>
    <t>Motor cycles 125cc Yamaha</t>
    <phoneticPr fontId="12" type="noConversion"/>
  </si>
  <si>
    <t>est per month</t>
    <phoneticPr fontId="12" type="noConversion"/>
  </si>
  <si>
    <t>Months</t>
    <phoneticPr fontId="12" type="noConversion"/>
  </si>
  <si>
    <t>Kg sold</t>
    <phoneticPr fontId="12" type="noConversion"/>
  </si>
  <si>
    <t>Baobab powder sales - revenue KSh</t>
    <phoneticPr fontId="12" type="noConversion"/>
  </si>
  <si>
    <t>Total Kg sold</t>
    <phoneticPr fontId="12" type="noConversion"/>
  </si>
  <si>
    <t>Total Revenue Baobab Powder</t>
    <phoneticPr fontId="12" type="noConversion"/>
  </si>
  <si>
    <t xml:space="preserve">Units Kg </t>
    <phoneticPr fontId="12" type="noConversion"/>
  </si>
  <si>
    <t>Sales price</t>
    <phoneticPr fontId="12" type="noConversion"/>
  </si>
  <si>
    <t>Sales mix</t>
    <phoneticPr fontId="12" type="noConversion"/>
  </si>
  <si>
    <t>Transport</t>
    <phoneticPr fontId="12" type="noConversion"/>
  </si>
  <si>
    <t>Certifications</t>
    <phoneticPr fontId="12" type="noConversion"/>
  </si>
  <si>
    <t>Licences</t>
    <phoneticPr fontId="12" type="noConversion"/>
  </si>
  <si>
    <t>Marketing costs</t>
    <phoneticPr fontId="12" type="noConversion"/>
  </si>
  <si>
    <t>Cost per unit</t>
    <phoneticPr fontId="12" type="noConversion"/>
  </si>
  <si>
    <t>Units</t>
    <phoneticPr fontId="12" type="noConversion"/>
  </si>
  <si>
    <t>Assumptions</t>
    <phoneticPr fontId="12" type="noConversion"/>
  </si>
  <si>
    <t>Gross</t>
    <phoneticPr fontId="12" type="noConversion"/>
  </si>
  <si>
    <t>(one of the labouers)</t>
    <phoneticPr fontId="12" type="noConversion"/>
  </si>
  <si>
    <t>kg/day</t>
    <phoneticPr fontId="12" type="noConversion"/>
  </si>
  <si>
    <t xml:space="preserve">hr/day </t>
    <phoneticPr fontId="12" type="noConversion"/>
  </si>
  <si>
    <t>x</t>
    <phoneticPr fontId="12" type="noConversion"/>
  </si>
  <si>
    <t xml:space="preserve"> </t>
    <phoneticPr fontId="12" type="noConversion"/>
  </si>
  <si>
    <t>Daily rate</t>
    <phoneticPr fontId="12" type="noConversion"/>
  </si>
  <si>
    <t>6 kg Dry powderFire extinguishers</t>
    <phoneticPr fontId="12" type="noConversion"/>
  </si>
  <si>
    <t>5 kg CO2 Fire extinguishers</t>
    <phoneticPr fontId="12" type="noConversion"/>
  </si>
  <si>
    <t>b</t>
    <phoneticPr fontId="12" type="noConversion"/>
  </si>
  <si>
    <t>Oil</t>
    <phoneticPr fontId="12" type="noConversion"/>
  </si>
  <si>
    <t>Item</t>
    <phoneticPr fontId="12" type="noConversion"/>
  </si>
  <si>
    <t>Number</t>
    <phoneticPr fontId="12" type="noConversion"/>
  </si>
  <si>
    <t>Value per unit</t>
    <phoneticPr fontId="12" type="noConversion"/>
  </si>
  <si>
    <t>Depreciation rate</t>
    <phoneticPr fontId="12" type="noConversion"/>
  </si>
  <si>
    <t>Depreciation</t>
    <phoneticPr fontId="12" type="noConversion"/>
  </si>
  <si>
    <t>Marketing Costs</t>
    <phoneticPr fontId="12" type="noConversion"/>
  </si>
  <si>
    <t>PROFIT BEFORE INTEREST AND TAX</t>
    <phoneticPr fontId="12" type="noConversion"/>
  </si>
  <si>
    <t>Kenya Market study</t>
    <phoneticPr fontId="12" type="noConversion"/>
  </si>
  <si>
    <t xml:space="preserve"> </t>
    <phoneticPr fontId="12" type="noConversion"/>
  </si>
  <si>
    <t>Kenya Trade Fair attendance - with stand</t>
    <phoneticPr fontId="12" type="noConversion"/>
  </si>
  <si>
    <t>Kenya Trade Fair attendance - observing</t>
    <phoneticPr fontId="12" type="noConversion"/>
  </si>
  <si>
    <t>Promotional material</t>
    <phoneticPr fontId="12" type="noConversion"/>
  </si>
  <si>
    <t>%age revenue</t>
    <phoneticPr fontId="12" type="noConversion"/>
  </si>
  <si>
    <t>Units</t>
    <phoneticPr fontId="12" type="noConversion"/>
  </si>
  <si>
    <t>Baobab Powder Sales</t>
    <phoneticPr fontId="12" type="noConversion"/>
  </si>
  <si>
    <t>Baobab Oil Sales</t>
    <phoneticPr fontId="12" type="noConversion"/>
  </si>
  <si>
    <t>Baobab Seed Sales</t>
    <phoneticPr fontId="12" type="noConversion"/>
  </si>
  <si>
    <t>Baobab Seedcake Sales</t>
    <phoneticPr fontId="12" type="noConversion"/>
  </si>
  <si>
    <t>Advertising</t>
    <phoneticPr fontId="12" type="noConversion"/>
  </si>
  <si>
    <t>Baobab Powder Sales</t>
    <phoneticPr fontId="12" type="noConversion"/>
  </si>
  <si>
    <t>Baobab Oil Sales</t>
    <phoneticPr fontId="12" type="noConversion"/>
  </si>
  <si>
    <t>Baobab Seedcake Sales</t>
    <phoneticPr fontId="12" type="noConversion"/>
  </si>
  <si>
    <t>Customer Visits</t>
    <phoneticPr fontId="12" type="noConversion"/>
  </si>
  <si>
    <t xml:space="preserve"> </t>
    <phoneticPr fontId="12" type="noConversion"/>
  </si>
  <si>
    <t>Trade Fairs</t>
    <phoneticPr fontId="12" type="noConversion"/>
  </si>
  <si>
    <t>Baobab Oil Revenue</t>
    <phoneticPr fontId="12" type="noConversion"/>
  </si>
  <si>
    <t>Cost per trip</t>
    <phoneticPr fontId="12" type="noConversion"/>
  </si>
  <si>
    <t>No of trips per year</t>
    <phoneticPr fontId="12" type="noConversion"/>
  </si>
  <si>
    <t>Factory license</t>
    <phoneticPr fontId="12" type="noConversion"/>
  </si>
  <si>
    <t>Business licence</t>
    <phoneticPr fontId="12" type="noConversion"/>
  </si>
  <si>
    <t>Contingency</t>
    <phoneticPr fontId="12" type="noConversion"/>
  </si>
  <si>
    <t>m</t>
    <phoneticPr fontId="12" type="noConversion"/>
  </si>
  <si>
    <t>Contingency</t>
    <phoneticPr fontId="12" type="noConversion"/>
  </si>
  <si>
    <t>Total Administration Costs</t>
    <phoneticPr fontId="12" type="noConversion"/>
  </si>
  <si>
    <t>Single Business Permit</t>
    <phoneticPr fontId="12" type="noConversion"/>
  </si>
  <si>
    <t xml:space="preserve"> </t>
    <phoneticPr fontId="12" type="noConversion"/>
  </si>
  <si>
    <t>EIA</t>
    <phoneticPr fontId="12" type="noConversion"/>
  </si>
  <si>
    <t>One off</t>
    <phoneticPr fontId="12" type="noConversion"/>
  </si>
  <si>
    <t>Analysis</t>
    <phoneticPr fontId="12" type="noConversion"/>
  </si>
  <si>
    <t>Mabuyu Balance Sheet</t>
    <phoneticPr fontId="12" type="noConversion"/>
  </si>
  <si>
    <t>Accumulated Investments</t>
    <phoneticPr fontId="12" type="noConversion"/>
  </si>
  <si>
    <t>Accumulated Depreciation</t>
    <phoneticPr fontId="12" type="noConversion"/>
  </si>
  <si>
    <t>Total Baobab Raw Material Costs</t>
    <phoneticPr fontId="12" type="noConversion"/>
  </si>
  <si>
    <t>Bulk storage sacks</t>
    <phoneticPr fontId="12" type="noConversion"/>
  </si>
  <si>
    <t>Total Operating Costs Baobab seed cake</t>
    <phoneticPr fontId="12" type="noConversion"/>
  </si>
  <si>
    <t>Total Revenue</t>
  </si>
  <si>
    <t>Administration costs</t>
  </si>
  <si>
    <t>Operational Costs</t>
  </si>
  <si>
    <t>Investment in Equipment</t>
  </si>
  <si>
    <t>Baobab Financial Model</t>
  </si>
  <si>
    <t>Community Enterprises Production planning</t>
  </si>
  <si>
    <t>Revenues</t>
  </si>
  <si>
    <t>Marketing Costs</t>
  </si>
  <si>
    <t>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</si>
</sst>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18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u/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9" fontId="0" fillId="0" borderId="0" xfId="0" applyNumberFormat="1"/>
    <xf numFmtId="3" fontId="0" fillId="0" borderId="0" xfId="0" applyNumberFormat="1"/>
    <xf numFmtId="0" fontId="11" fillId="0" borderId="1" xfId="0" applyFont="1" applyBorder="1"/>
    <xf numFmtId="0" fontId="0" fillId="0" borderId="2" xfId="0" applyBorder="1"/>
    <xf numFmtId="0" fontId="1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1" fillId="0" borderId="0" xfId="0" applyFont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11" fillId="0" borderId="4" xfId="0" applyFont="1" applyBorder="1"/>
    <xf numFmtId="3" fontId="0" fillId="0" borderId="5" xfId="0" applyNumberFormat="1" applyBorder="1"/>
    <xf numFmtId="0" fontId="11" fillId="0" borderId="6" xfId="0" applyFont="1" applyBorder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0" fontId="11" fillId="0" borderId="5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/>
    <xf numFmtId="0" fontId="9" fillId="0" borderId="0" xfId="0" applyFont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6" xfId="0" applyBorder="1"/>
    <xf numFmtId="0" fontId="7" fillId="0" borderId="0" xfId="0" applyFont="1"/>
    <xf numFmtId="0" fontId="0" fillId="0" borderId="1" xfId="0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0" fillId="0" borderId="8" xfId="0" applyBorder="1"/>
    <xf numFmtId="0" fontId="7" fillId="0" borderId="1" xfId="0" applyFont="1" applyBorder="1"/>
    <xf numFmtId="9" fontId="0" fillId="0" borderId="5" xfId="0" applyNumberFormat="1" applyBorder="1"/>
    <xf numFmtId="9" fontId="0" fillId="0" borderId="8" xfId="0" applyNumberForma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7" fillId="0" borderId="0" xfId="0" applyNumberFormat="1" applyFont="1"/>
    <xf numFmtId="0" fontId="7" fillId="0" borderId="9" xfId="0" applyFont="1" applyBorder="1"/>
    <xf numFmtId="0" fontId="7" fillId="0" borderId="10" xfId="0" applyFont="1" applyBorder="1"/>
    <xf numFmtId="3" fontId="7" fillId="0" borderId="10" xfId="0" applyNumberFormat="1" applyFont="1" applyBorder="1"/>
    <xf numFmtId="3" fontId="7" fillId="0" borderId="11" xfId="0" applyNumberFormat="1" applyFont="1" applyBorder="1"/>
    <xf numFmtId="0" fontId="7" fillId="0" borderId="11" xfId="0" applyFont="1" applyBorder="1"/>
    <xf numFmtId="0" fontId="0" fillId="0" borderId="11" xfId="0" applyBorder="1"/>
    <xf numFmtId="3" fontId="13" fillId="0" borderId="0" xfId="0" applyNumberFormat="1" applyFont="1"/>
    <xf numFmtId="3" fontId="13" fillId="0" borderId="5" xfId="0" applyNumberFormat="1" applyFont="1" applyBorder="1"/>
    <xf numFmtId="0" fontId="9" fillId="0" borderId="4" xfId="0" applyFont="1" applyBorder="1"/>
    <xf numFmtId="3" fontId="9" fillId="0" borderId="0" xfId="0" applyNumberFormat="1" applyFont="1"/>
    <xf numFmtId="3" fontId="9" fillId="0" borderId="5" xfId="0" applyNumberFormat="1" applyFont="1" applyBorder="1"/>
    <xf numFmtId="0" fontId="8" fillId="0" borderId="4" xfId="0" applyFont="1" applyBorder="1"/>
    <xf numFmtId="3" fontId="8" fillId="0" borderId="0" xfId="0" applyNumberFormat="1" applyFont="1"/>
    <xf numFmtId="3" fontId="8" fillId="0" borderId="5" xfId="0" applyNumberFormat="1" applyFont="1" applyBorder="1"/>
    <xf numFmtId="3" fontId="7" fillId="0" borderId="5" xfId="0" applyNumberFormat="1" applyFont="1" applyBorder="1"/>
    <xf numFmtId="0" fontId="9" fillId="0" borderId="5" xfId="0" applyFont="1" applyBorder="1"/>
    <xf numFmtId="0" fontId="0" fillId="0" borderId="9" xfId="0" applyBorder="1"/>
    <xf numFmtId="0" fontId="9" fillId="0" borderId="10" xfId="0" applyFont="1" applyBorder="1"/>
    <xf numFmtId="0" fontId="9" fillId="0" borderId="1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3" fontId="2" fillId="0" borderId="0" xfId="0" applyNumberFormat="1" applyFont="1"/>
    <xf numFmtId="2" fontId="0" fillId="0" borderId="0" xfId="0" applyNumberFormat="1"/>
    <xf numFmtId="0" fontId="3" fillId="0" borderId="4" xfId="0" applyFont="1" applyBorder="1"/>
    <xf numFmtId="3" fontId="3" fillId="0" borderId="0" xfId="0" applyNumberFormat="1" applyFont="1"/>
    <xf numFmtId="3" fontId="13" fillId="0" borderId="4" xfId="0" applyNumberFormat="1" applyFont="1" applyBorder="1"/>
    <xf numFmtId="0" fontId="2" fillId="0" borderId="1" xfId="0" applyFont="1" applyBorder="1"/>
    <xf numFmtId="0" fontId="2" fillId="0" borderId="4" xfId="0" applyFont="1" applyBorder="1"/>
    <xf numFmtId="3" fontId="2" fillId="0" borderId="5" xfId="0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0" xfId="0" applyBorder="1"/>
    <xf numFmtId="3" fontId="0" fillId="0" borderId="10" xfId="0" applyNumberFormat="1" applyBorder="1"/>
    <xf numFmtId="1" fontId="2" fillId="0" borderId="10" xfId="0" applyNumberFormat="1" applyFont="1" applyBorder="1"/>
    <xf numFmtId="1" fontId="2" fillId="0" borderId="1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5" xfId="0" applyFont="1" applyBorder="1"/>
    <xf numFmtId="9" fontId="2" fillId="0" borderId="8" xfId="0" applyNumberFormat="1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7" xfId="0" applyFont="1" applyBorder="1"/>
    <xf numFmtId="0" fontId="9" fillId="0" borderId="8" xfId="0" applyFont="1" applyBorder="1"/>
    <xf numFmtId="3" fontId="9" fillId="0" borderId="7" xfId="0" applyNumberFormat="1" applyFont="1" applyBorder="1"/>
    <xf numFmtId="3" fontId="9" fillId="0" borderId="8" xfId="0" applyNumberFormat="1" applyFont="1" applyBorder="1"/>
    <xf numFmtId="0" fontId="9" fillId="0" borderId="6" xfId="0" applyFont="1" applyBorder="1"/>
    <xf numFmtId="0" fontId="13" fillId="0" borderId="0" xfId="0" applyFont="1"/>
    <xf numFmtId="0" fontId="10" fillId="0" borderId="4" xfId="0" applyFont="1" applyBorder="1"/>
    <xf numFmtId="3" fontId="10" fillId="0" borderId="0" xfId="0" applyNumberFormat="1" applyFont="1"/>
    <xf numFmtId="3" fontId="10" fillId="0" borderId="5" xfId="0" applyNumberFormat="1" applyFont="1" applyBorder="1"/>
    <xf numFmtId="0" fontId="2" fillId="0" borderId="7" xfId="0" applyFont="1" applyBorder="1"/>
    <xf numFmtId="0" fontId="11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1" fillId="0" borderId="0" xfId="0" applyFont="1"/>
    <xf numFmtId="3" fontId="0" fillId="0" borderId="2" xfId="0" applyNumberFormat="1" applyBorder="1"/>
    <xf numFmtId="3" fontId="0" fillId="0" borderId="3" xfId="0" applyNumberFormat="1" applyBorder="1"/>
    <xf numFmtId="0" fontId="1" fillId="0" borderId="4" xfId="0" applyFont="1" applyBorder="1"/>
    <xf numFmtId="0" fontId="1" fillId="0" borderId="6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0" fillId="0" borderId="0" xfId="0" applyBorder="1"/>
    <xf numFmtId="3" fontId="14" fillId="0" borderId="7" xfId="0" applyNumberFormat="1" applyFont="1" applyBorder="1"/>
    <xf numFmtId="3" fontId="14" fillId="0" borderId="8" xfId="0" applyNumberFormat="1" applyFont="1" applyBorder="1"/>
    <xf numFmtId="0" fontId="14" fillId="0" borderId="6" xfId="0" applyFont="1" applyBorder="1"/>
    <xf numFmtId="4" fontId="9" fillId="0" borderId="7" xfId="0" applyNumberFormat="1" applyFont="1" applyBorder="1"/>
    <xf numFmtId="164" fontId="9" fillId="0" borderId="7" xfId="0" applyNumberFormat="1" applyFont="1" applyBorder="1"/>
    <xf numFmtId="164" fontId="14" fillId="0" borderId="7" xfId="0" applyNumberFormat="1" applyFont="1" applyBorder="1"/>
    <xf numFmtId="0" fontId="4" fillId="0" borderId="7" xfId="0" applyFont="1" applyBorder="1"/>
    <xf numFmtId="0" fontId="0" fillId="2" borderId="0" xfId="0" applyFill="1"/>
    <xf numFmtId="3" fontId="0" fillId="2" borderId="0" xfId="0" applyNumberFormat="1" applyFill="1"/>
    <xf numFmtId="9" fontId="0" fillId="2" borderId="0" xfId="0" applyNumberFormat="1" applyFill="1"/>
    <xf numFmtId="0" fontId="0" fillId="0" borderId="0" xfId="0" applyFill="1"/>
    <xf numFmtId="3" fontId="0" fillId="0" borderId="0" xfId="0" applyNumberFormat="1" applyFill="1"/>
    <xf numFmtId="0" fontId="14" fillId="0" borderId="0" xfId="0" applyFont="1"/>
    <xf numFmtId="3" fontId="0" fillId="0" borderId="5" xfId="0" applyNumberFormat="1" applyFill="1" applyBorder="1"/>
    <xf numFmtId="0" fontId="14" fillId="0" borderId="4" xfId="0" applyFont="1" applyBorder="1"/>
    <xf numFmtId="0" fontId="14" fillId="0" borderId="5" xfId="0" applyFont="1" applyBorder="1"/>
    <xf numFmtId="3" fontId="14" fillId="0" borderId="0" xfId="0" applyNumberFormat="1" applyFont="1"/>
    <xf numFmtId="3" fontId="14" fillId="0" borderId="5" xfId="0" applyNumberFormat="1" applyFont="1" applyBorder="1"/>
    <xf numFmtId="165" fontId="2" fillId="0" borderId="5" xfId="0" applyNumberFormat="1" applyFont="1" applyFill="1" applyBorder="1"/>
    <xf numFmtId="3" fontId="16" fillId="0" borderId="0" xfId="0" applyNumberFormat="1" applyFont="1"/>
    <xf numFmtId="9" fontId="16" fillId="2" borderId="0" xfId="0" applyNumberFormat="1" applyFont="1" applyFill="1"/>
    <xf numFmtId="3" fontId="16" fillId="2" borderId="0" xfId="0" applyNumberFormat="1" applyFont="1" applyFill="1"/>
    <xf numFmtId="3" fontId="16" fillId="2" borderId="5" xfId="0" applyNumberFormat="1" applyFont="1" applyFill="1" applyBorder="1"/>
    <xf numFmtId="0" fontId="17" fillId="0" borderId="0" xfId="0" applyFont="1"/>
    <xf numFmtId="0" fontId="17" fillId="2" borderId="0" xfId="0" applyFont="1" applyFill="1"/>
    <xf numFmtId="0" fontId="16" fillId="2" borderId="0" xfId="0" applyFont="1" applyFill="1"/>
    <xf numFmtId="4" fontId="16" fillId="2" borderId="0" xfId="0" applyNumberFormat="1" applyFont="1" applyFill="1"/>
    <xf numFmtId="9" fontId="16" fillId="2" borderId="5" xfId="0" applyNumberFormat="1" applyFont="1" applyFill="1" applyBorder="1"/>
    <xf numFmtId="0" fontId="16" fillId="2" borderId="5" xfId="0" applyFont="1" applyFill="1" applyBorder="1"/>
    <xf numFmtId="0" fontId="16" fillId="2" borderId="7" xfId="0" applyFont="1" applyFill="1" applyBorder="1"/>
    <xf numFmtId="0" fontId="16" fillId="2" borderId="8" xfId="0" applyFont="1" applyFill="1" applyBorder="1"/>
    <xf numFmtId="0" fontId="16" fillId="0" borderId="0" xfId="0" applyFont="1"/>
    <xf numFmtId="0" fontId="15" fillId="2" borderId="7" xfId="0" applyFont="1" applyFill="1" applyBorder="1"/>
    <xf numFmtId="1" fontId="16" fillId="2" borderId="0" xfId="0" applyNumberFormat="1" applyFont="1" applyFill="1"/>
    <xf numFmtId="3" fontId="15" fillId="0" borderId="0" xfId="0" applyNumberFormat="1" applyFont="1"/>
    <xf numFmtId="10" fontId="16" fillId="2" borderId="0" xfId="0" applyNumberFormat="1" applyFont="1" applyFill="1"/>
    <xf numFmtId="9" fontId="16" fillId="2" borderId="0" xfId="0" applyNumberFormat="1" applyFont="1" applyFill="1" applyAlignment="1">
      <alignment horizontal="right"/>
    </xf>
    <xf numFmtId="3" fontId="16" fillId="0" borderId="5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topLeftCell="M1" workbookViewId="0">
      <selection activeCell="P9" sqref="P9"/>
    </sheetView>
  </sheetViews>
  <sheetFormatPr defaultColWidth="11" defaultRowHeight="13.5" x14ac:dyDescent="0.3"/>
  <cols>
    <col min="1" max="1" width="20.765625" customWidth="1"/>
    <col min="6" max="6" width="11.15234375" bestFit="1" customWidth="1"/>
    <col min="18" max="18" width="11.3828125" bestFit="1" customWidth="1"/>
    <col min="20" max="20" width="11.3828125" bestFit="1" customWidth="1"/>
    <col min="22" max="22" width="11.3828125" bestFit="1" customWidth="1"/>
  </cols>
  <sheetData>
    <row r="1" spans="1:30" x14ac:dyDescent="0.3">
      <c r="A1" s="62" t="s">
        <v>459</v>
      </c>
    </row>
    <row r="3" spans="1:30" x14ac:dyDescent="0.3">
      <c r="A3" s="76" t="s">
        <v>35</v>
      </c>
      <c r="B3" s="78"/>
      <c r="C3" s="77"/>
      <c r="D3" s="77">
        <v>2019</v>
      </c>
      <c r="E3" s="77" t="s">
        <v>152</v>
      </c>
      <c r="F3" s="77">
        <v>2020</v>
      </c>
      <c r="G3" s="77"/>
      <c r="H3" s="77">
        <v>2021</v>
      </c>
      <c r="I3" s="77"/>
      <c r="J3" s="77">
        <v>2022</v>
      </c>
      <c r="K3" s="77"/>
      <c r="L3" s="77">
        <v>2023</v>
      </c>
      <c r="M3" s="77"/>
      <c r="N3" s="77">
        <v>2024</v>
      </c>
      <c r="O3" s="77"/>
      <c r="P3" s="77">
        <v>2025</v>
      </c>
      <c r="Q3" s="77"/>
      <c r="R3" s="77">
        <v>2026</v>
      </c>
      <c r="S3" s="77"/>
      <c r="T3" s="77">
        <v>2027</v>
      </c>
      <c r="U3" s="77"/>
      <c r="V3" s="78">
        <v>2028</v>
      </c>
    </row>
    <row r="4" spans="1:30" x14ac:dyDescent="0.3">
      <c r="A4" s="71"/>
      <c r="B4" s="9"/>
      <c r="V4" s="9"/>
    </row>
    <row r="5" spans="1:30" x14ac:dyDescent="0.3">
      <c r="A5" s="71" t="s">
        <v>153</v>
      </c>
      <c r="B5" s="9"/>
      <c r="C5" s="2">
        <f>'9. Investment Equipment'!F51</f>
        <v>1589500</v>
      </c>
      <c r="D5" s="2"/>
      <c r="E5" s="2">
        <f>'9. Investment Equipment'!F51+'9. Investment Equipment'!G51</f>
        <v>2089500</v>
      </c>
      <c r="F5" s="2"/>
      <c r="G5" s="2">
        <f>E5+'9. Investment Equipment'!H51</f>
        <v>2389500</v>
      </c>
      <c r="H5" s="2"/>
      <c r="I5" s="2">
        <f>G5+'9. Investment Equipment'!I51</f>
        <v>2389500</v>
      </c>
      <c r="J5" s="2"/>
      <c r="K5" s="2">
        <f>I5+'9. Investment Equipment'!J51</f>
        <v>3114500</v>
      </c>
      <c r="L5" s="2"/>
      <c r="M5" s="2">
        <f>K5+'9. Investment Equipment'!K51</f>
        <v>4354500</v>
      </c>
      <c r="N5" s="2"/>
      <c r="O5" s="2">
        <f>M5+'9. Investment Equipment'!L51</f>
        <v>4354500</v>
      </c>
      <c r="P5" s="2"/>
      <c r="Q5" s="2">
        <f>O5+'9. Investment Equipment'!M51</f>
        <v>4654500</v>
      </c>
      <c r="R5" s="2"/>
      <c r="S5" s="2">
        <f>Q5+'9. Investment Equipment'!N51</f>
        <v>6179500</v>
      </c>
      <c r="T5" s="2"/>
      <c r="U5" s="2">
        <f>S5+'9. Investment Equipment'!O51</f>
        <v>6179500</v>
      </c>
      <c r="V5" s="9"/>
      <c r="W5" s="2"/>
      <c r="X5" s="2"/>
      <c r="Y5" s="2"/>
      <c r="Z5" s="2"/>
      <c r="AA5" s="2"/>
      <c r="AB5" s="2"/>
      <c r="AC5" s="2"/>
      <c r="AD5" s="2"/>
    </row>
    <row r="6" spans="1:30" x14ac:dyDescent="0.3">
      <c r="A6" s="71"/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9"/>
    </row>
    <row r="7" spans="1:30" x14ac:dyDescent="0.3">
      <c r="A7" s="71" t="s">
        <v>154</v>
      </c>
      <c r="B7" s="9"/>
      <c r="C7" s="48">
        <f>'9. Investment Equipment'!F78</f>
        <v>341700</v>
      </c>
      <c r="D7" s="2"/>
      <c r="E7" s="48">
        <f>C7+'9. Investment Equipment'!G78</f>
        <v>808400</v>
      </c>
      <c r="F7" s="2"/>
      <c r="G7" s="48">
        <f>E7+'9. Investment Equipment'!H78</f>
        <v>1335100</v>
      </c>
      <c r="H7" s="2"/>
      <c r="I7" s="48">
        <f>G7+'9. Investment Equipment'!I78</f>
        <v>1861800</v>
      </c>
      <c r="J7" s="2"/>
      <c r="K7" s="48">
        <f>I7+'9. Investment Equipment'!J78</f>
        <v>2388500</v>
      </c>
      <c r="L7" s="2"/>
      <c r="M7" s="48">
        <f>K7+'9. Investment Equipment'!K78</f>
        <v>2915200</v>
      </c>
      <c r="N7" s="2"/>
      <c r="O7" s="48">
        <f>M7+'9. Investment Equipment'!L78</f>
        <v>3441900</v>
      </c>
      <c r="P7" s="2"/>
      <c r="Q7" s="48">
        <f>O7+'9. Investment Equipment'!M78</f>
        <v>3911100</v>
      </c>
      <c r="R7" s="2"/>
      <c r="S7" s="48">
        <f>Q7+'9. Investment Equipment'!N78</f>
        <v>4512800</v>
      </c>
      <c r="T7" s="2"/>
      <c r="U7" s="48">
        <f>S7+'9. Investment Equipment'!O78</f>
        <v>5114500</v>
      </c>
      <c r="V7" s="9"/>
    </row>
    <row r="8" spans="1:30" x14ac:dyDescent="0.3">
      <c r="A8" s="71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9"/>
    </row>
    <row r="9" spans="1:30" x14ac:dyDescent="0.3">
      <c r="A9" s="71" t="s">
        <v>155</v>
      </c>
      <c r="B9" s="9"/>
      <c r="C9" s="2"/>
      <c r="D9" s="2">
        <f>C5-C7</f>
        <v>1247800</v>
      </c>
      <c r="E9" s="2"/>
      <c r="F9" s="2">
        <f>E5-E7</f>
        <v>1281100</v>
      </c>
      <c r="G9" s="2"/>
      <c r="H9" s="2">
        <f>G5-G7</f>
        <v>1054400</v>
      </c>
      <c r="I9" s="2"/>
      <c r="J9" s="2">
        <f>I5-I7</f>
        <v>527700</v>
      </c>
      <c r="K9" s="2"/>
      <c r="L9" s="2">
        <f>K5-K7</f>
        <v>726000</v>
      </c>
      <c r="M9" s="2"/>
      <c r="N9" s="2">
        <f>M5-M7</f>
        <v>1439300</v>
      </c>
      <c r="O9" s="2"/>
      <c r="P9" s="2">
        <f>O5-O7</f>
        <v>912600</v>
      </c>
      <c r="Q9" s="2"/>
      <c r="R9" s="2">
        <f>Q5-Q7</f>
        <v>743400</v>
      </c>
      <c r="S9" s="2"/>
      <c r="T9" s="2">
        <f>S5-S7</f>
        <v>1666700</v>
      </c>
      <c r="U9" s="2"/>
      <c r="V9" s="12">
        <f>U5-U7</f>
        <v>1065000</v>
      </c>
    </row>
    <row r="10" spans="1:30" x14ac:dyDescent="0.3">
      <c r="A10" s="71"/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9"/>
    </row>
    <row r="11" spans="1:30" x14ac:dyDescent="0.3">
      <c r="A11" s="71" t="s">
        <v>156</v>
      </c>
      <c r="B11" s="9"/>
      <c r="C11" s="2"/>
      <c r="D11" s="2">
        <f>'7. Operational costs'!D7</f>
        <v>0</v>
      </c>
      <c r="E11" s="2"/>
      <c r="F11" s="2">
        <f>'7. Operational costs'!E7</f>
        <v>0</v>
      </c>
      <c r="G11" s="2"/>
      <c r="H11" s="2">
        <f>'7. Operational costs'!F7</f>
        <v>0</v>
      </c>
      <c r="I11" s="2"/>
      <c r="J11" s="2">
        <f>'7. Operational costs'!G7</f>
        <v>0</v>
      </c>
      <c r="K11" s="2"/>
      <c r="L11" s="2">
        <f>'7. Operational costs'!H7</f>
        <v>0</v>
      </c>
      <c r="M11" s="2"/>
      <c r="N11" s="2">
        <f>'7. Operational costs'!I7</f>
        <v>0</v>
      </c>
      <c r="O11" s="2"/>
      <c r="P11" s="2">
        <f>'7. Operational costs'!J7</f>
        <v>0</v>
      </c>
      <c r="Q11" s="2"/>
      <c r="R11" s="2">
        <f>'7. Operational costs'!K7</f>
        <v>0</v>
      </c>
      <c r="S11" s="2"/>
      <c r="T11" s="2">
        <f>'7. Operational costs'!L7</f>
        <v>0</v>
      </c>
      <c r="U11" s="2"/>
      <c r="V11" s="12">
        <f>'7. Operational costs'!M7</f>
        <v>0</v>
      </c>
    </row>
    <row r="12" spans="1:30" x14ac:dyDescent="0.3">
      <c r="A12" s="71"/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9"/>
    </row>
    <row r="13" spans="1:30" x14ac:dyDescent="0.3">
      <c r="A13" s="71" t="s">
        <v>27</v>
      </c>
      <c r="B13" s="9"/>
      <c r="C13" s="2"/>
      <c r="D13" s="48">
        <f>'3. Cash Flows'!C34</f>
        <v>-2676048.5</v>
      </c>
      <c r="E13" s="2"/>
      <c r="F13" s="48">
        <f>'3. Cash Flows'!D34</f>
        <v>-3005777.6437499998</v>
      </c>
      <c r="G13" s="2"/>
      <c r="H13" s="48">
        <f>'3. Cash Flows'!E34</f>
        <v>-2902375.1757812495</v>
      </c>
      <c r="I13" s="2"/>
      <c r="J13" s="48">
        <f>'3. Cash Flows'!F34</f>
        <v>-2385652.4037109367</v>
      </c>
      <c r="K13" s="2"/>
      <c r="L13" s="48">
        <f>'3. Cash Flows'!G34</f>
        <v>-2381909.1962597654</v>
      </c>
      <c r="M13" s="2"/>
      <c r="N13" s="48">
        <f>'3. Cash Flows'!H34</f>
        <v>-2588590.7190541998</v>
      </c>
      <c r="O13" s="2"/>
      <c r="P13" s="48">
        <f>'3. Cash Flows'!I34</f>
        <v>-1178418.1623045043</v>
      </c>
      <c r="Q13" s="2"/>
      <c r="R13" s="48">
        <f>'3. Cash Flows'!J34</f>
        <v>402075.70146389888</v>
      </c>
      <c r="S13" s="2"/>
      <c r="T13" s="48">
        <f>'3. Cash Flows'!K34</f>
        <v>1143032.3173324056</v>
      </c>
      <c r="U13" s="2"/>
      <c r="V13" s="49">
        <f>'3. Cash Flows'!L34</f>
        <v>4106680.2942972188</v>
      </c>
      <c r="W13" s="2"/>
      <c r="X13" s="2"/>
      <c r="Y13" s="2"/>
      <c r="Z13" s="2"/>
      <c r="AA13" s="2"/>
      <c r="AB13" s="2"/>
      <c r="AC13" s="2"/>
      <c r="AD13" s="2"/>
    </row>
    <row r="14" spans="1:30" x14ac:dyDescent="0.3">
      <c r="A14" s="71"/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2"/>
    </row>
    <row r="15" spans="1:30" x14ac:dyDescent="0.3">
      <c r="A15" s="71" t="s">
        <v>28</v>
      </c>
      <c r="B15" s="9"/>
      <c r="C15" s="65"/>
      <c r="D15" s="65">
        <f>SUM(D9:D13)</f>
        <v>-1428248.5</v>
      </c>
      <c r="E15" s="65"/>
      <c r="F15" s="65">
        <f>SUM(F9:F13)</f>
        <v>-1724677.6437499998</v>
      </c>
      <c r="G15" s="65"/>
      <c r="H15" s="65">
        <f>SUM(H9:H13)</f>
        <v>-1847975.1757812495</v>
      </c>
      <c r="I15" s="65"/>
      <c r="J15" s="65">
        <f>SUM(J9:J13)</f>
        <v>-1857952.4037109367</v>
      </c>
      <c r="K15" s="65"/>
      <c r="L15" s="65">
        <f>SUM(L9:L13)</f>
        <v>-1655909.1962597654</v>
      </c>
      <c r="M15" s="65"/>
      <c r="N15" s="65">
        <f>SUM(N9:N13)</f>
        <v>-1149290.7190541998</v>
      </c>
      <c r="O15" s="65"/>
      <c r="P15" s="65">
        <f>SUM(P9:P13)</f>
        <v>-265818.16230450431</v>
      </c>
      <c r="Q15" s="65"/>
      <c r="R15" s="65">
        <f>SUM(R9:R13)</f>
        <v>1145475.7014638989</v>
      </c>
      <c r="S15" s="65"/>
      <c r="T15" s="65">
        <f>SUM(T9:T13)</f>
        <v>2809732.3173324056</v>
      </c>
      <c r="U15" s="65"/>
      <c r="V15" s="72">
        <f>SUM(V9:V13)</f>
        <v>5171680.2942972183</v>
      </c>
    </row>
    <row r="16" spans="1:30" x14ac:dyDescent="0.3">
      <c r="A16" s="71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9"/>
    </row>
    <row r="17" spans="1:22" x14ac:dyDescent="0.3">
      <c r="A17" s="71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9"/>
    </row>
    <row r="18" spans="1:22" x14ac:dyDescent="0.3">
      <c r="A18" s="76" t="s">
        <v>29</v>
      </c>
      <c r="B18" s="47"/>
      <c r="C18" s="80"/>
      <c r="D18" s="81">
        <v>2019</v>
      </c>
      <c r="E18" s="81"/>
      <c r="F18" s="81">
        <v>2020</v>
      </c>
      <c r="G18" s="81"/>
      <c r="H18" s="81">
        <v>2021</v>
      </c>
      <c r="I18" s="81"/>
      <c r="J18" s="81">
        <v>2022</v>
      </c>
      <c r="K18" s="81"/>
      <c r="L18" s="81">
        <v>2023</v>
      </c>
      <c r="M18" s="81"/>
      <c r="N18" s="81">
        <v>2024</v>
      </c>
      <c r="O18" s="81"/>
      <c r="P18" s="81">
        <v>2025</v>
      </c>
      <c r="Q18" s="81"/>
      <c r="R18" s="81">
        <v>2026</v>
      </c>
      <c r="S18" s="81"/>
      <c r="T18" s="81">
        <v>2027</v>
      </c>
      <c r="U18" s="81"/>
      <c r="V18" s="82">
        <v>2028</v>
      </c>
    </row>
    <row r="19" spans="1:22" x14ac:dyDescent="0.3">
      <c r="A19" s="71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9"/>
    </row>
    <row r="20" spans="1:22" x14ac:dyDescent="0.3">
      <c r="A20" s="71" t="s">
        <v>36</v>
      </c>
      <c r="B20" s="9"/>
      <c r="C20" s="2"/>
      <c r="D20" s="2">
        <f>'2. Income Statement'!D38</f>
        <v>-1460848.5</v>
      </c>
      <c r="E20" s="2"/>
      <c r="F20" s="2">
        <f>D20+'2. Income Statement'!E38</f>
        <v>-1757277.6437500003</v>
      </c>
      <c r="G20" s="2"/>
      <c r="H20" s="2">
        <f>F20+'2. Income Statement'!F38</f>
        <v>-1880575.1757812505</v>
      </c>
      <c r="I20" s="2"/>
      <c r="J20" s="2">
        <f>H20+'2. Income Statement'!G38</f>
        <v>-1890552.4037109376</v>
      </c>
      <c r="K20" s="2"/>
      <c r="L20" s="2">
        <f>J20+'2. Income Statement'!H38</f>
        <v>-1688509.1962597661</v>
      </c>
      <c r="M20" s="2"/>
      <c r="N20" s="2">
        <f>L20+'2. Income Statement'!I38</f>
        <v>-1181890.7190542012</v>
      </c>
      <c r="O20" s="2"/>
      <c r="P20" s="2">
        <f>N20+'2. Income Statement'!J38</f>
        <v>-298418.16230450571</v>
      </c>
      <c r="Q20" s="2"/>
      <c r="R20" s="2">
        <f>P20+'2. Income Statement'!K38</f>
        <v>1112875.701463897</v>
      </c>
      <c r="S20" s="2"/>
      <c r="T20" s="2">
        <f>R20+'2. Income Statement'!L38</f>
        <v>2777132.3173324037</v>
      </c>
      <c r="U20" s="2"/>
      <c r="V20" s="12">
        <f>T20+'2. Income Statement'!M38</f>
        <v>5139080.2942972183</v>
      </c>
    </row>
    <row r="21" spans="1:22" x14ac:dyDescent="0.3">
      <c r="A21" s="71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9"/>
    </row>
    <row r="22" spans="1:22" x14ac:dyDescent="0.3">
      <c r="A22" s="71" t="s">
        <v>30</v>
      </c>
      <c r="B22" s="9"/>
      <c r="C22" s="2"/>
      <c r="D22" s="138">
        <v>1000000</v>
      </c>
      <c r="E22" s="2"/>
      <c r="F22" s="138">
        <v>1000000</v>
      </c>
      <c r="G22" s="2"/>
      <c r="H22" s="138">
        <v>1000000</v>
      </c>
      <c r="I22" s="2"/>
      <c r="J22" s="138">
        <v>1000000</v>
      </c>
      <c r="K22" s="2"/>
      <c r="L22" s="138">
        <v>1000000</v>
      </c>
      <c r="M22" s="2"/>
      <c r="N22" s="138">
        <v>1000000</v>
      </c>
      <c r="O22" s="2"/>
      <c r="P22" s="138">
        <v>1000000</v>
      </c>
      <c r="Q22" s="2"/>
      <c r="R22" s="138">
        <v>1000000</v>
      </c>
      <c r="S22" s="2"/>
      <c r="T22" s="138">
        <v>1000000</v>
      </c>
      <c r="U22" s="2"/>
      <c r="V22" s="139">
        <v>1000000</v>
      </c>
    </row>
    <row r="23" spans="1:22" x14ac:dyDescent="0.3">
      <c r="A23" s="71"/>
      <c r="B23" s="9"/>
      <c r="C23" s="2"/>
      <c r="D23" s="136"/>
      <c r="E23" s="2"/>
      <c r="F23" s="136"/>
      <c r="G23" s="2"/>
      <c r="H23" s="136"/>
      <c r="I23" s="2"/>
      <c r="J23" s="136"/>
      <c r="K23" s="2"/>
      <c r="L23" s="136"/>
      <c r="M23" s="2"/>
      <c r="N23" s="136"/>
      <c r="O23" s="2"/>
      <c r="P23" s="136"/>
      <c r="Q23" s="2"/>
      <c r="R23" s="136"/>
      <c r="S23" s="2"/>
      <c r="T23" s="136"/>
      <c r="U23" s="2"/>
      <c r="V23" s="154"/>
    </row>
    <row r="24" spans="1:22" x14ac:dyDescent="0.3">
      <c r="A24" s="71" t="s">
        <v>31</v>
      </c>
      <c r="B24" s="9"/>
      <c r="C24" s="2"/>
      <c r="D24" s="138">
        <v>2000000</v>
      </c>
      <c r="E24" s="2"/>
      <c r="F24" s="138">
        <v>2000000</v>
      </c>
      <c r="G24" s="2"/>
      <c r="H24" s="138">
        <v>2000000</v>
      </c>
      <c r="I24" s="2"/>
      <c r="J24" s="138">
        <v>2000000</v>
      </c>
      <c r="K24" s="2"/>
      <c r="L24" s="138">
        <v>2000000</v>
      </c>
      <c r="M24" s="2"/>
      <c r="N24" s="138">
        <v>2000000</v>
      </c>
      <c r="O24" s="2"/>
      <c r="P24" s="138">
        <v>2000000</v>
      </c>
      <c r="Q24" s="2"/>
      <c r="R24" s="138">
        <v>2000000</v>
      </c>
      <c r="S24" s="2"/>
      <c r="T24" s="138">
        <v>2000000</v>
      </c>
      <c r="U24" s="2"/>
      <c r="V24" s="139">
        <v>2000000</v>
      </c>
    </row>
    <row r="25" spans="1:22" x14ac:dyDescent="0.3">
      <c r="A25" s="71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2"/>
    </row>
    <row r="26" spans="1:22" x14ac:dyDescent="0.3">
      <c r="A26" s="71" t="s">
        <v>32</v>
      </c>
      <c r="B26" s="9"/>
      <c r="C26" s="2"/>
      <c r="D26" s="6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9"/>
    </row>
    <row r="27" spans="1:22" x14ac:dyDescent="0.3">
      <c r="A27" s="71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9"/>
    </row>
    <row r="28" spans="1:22" x14ac:dyDescent="0.3">
      <c r="A28" s="73" t="s">
        <v>33</v>
      </c>
      <c r="B28" s="32"/>
      <c r="C28" s="74"/>
      <c r="D28" s="74">
        <f>SUM(D20:D26)</f>
        <v>1539151.5</v>
      </c>
      <c r="E28" s="74"/>
      <c r="F28" s="74">
        <f>SUM(F20:F26)</f>
        <v>1242722.3562499997</v>
      </c>
      <c r="G28" s="74"/>
      <c r="H28" s="74">
        <f>SUM(H20:H26)</f>
        <v>1119424.8242187495</v>
      </c>
      <c r="I28" s="74"/>
      <c r="J28" s="74">
        <f>SUM(J20:J26)</f>
        <v>1109447.5962890624</v>
      </c>
      <c r="K28" s="74"/>
      <c r="L28" s="74">
        <f>SUM(L20:L26)</f>
        <v>1311490.8037402339</v>
      </c>
      <c r="M28" s="74"/>
      <c r="N28" s="74">
        <f>SUM(N20:N26)</f>
        <v>1818109.2809457988</v>
      </c>
      <c r="O28" s="74"/>
      <c r="P28" s="74">
        <f>SUM(P20:P26)</f>
        <v>2701581.8376954943</v>
      </c>
      <c r="Q28" s="74"/>
      <c r="R28" s="74">
        <f>SUM(R20:R26)</f>
        <v>4112875.7014638968</v>
      </c>
      <c r="S28" s="74"/>
      <c r="T28" s="74">
        <f>SUM(T20:T26)</f>
        <v>5777132.3173324037</v>
      </c>
      <c r="U28" s="74"/>
      <c r="V28" s="75">
        <f>SUM(V20:V26)</f>
        <v>8139080.2942972183</v>
      </c>
    </row>
    <row r="29" spans="1:22" x14ac:dyDescent="0.3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 t="s">
        <v>34</v>
      </c>
      <c r="S29" s="2"/>
      <c r="T29" s="2"/>
      <c r="U29" s="2"/>
    </row>
    <row r="30" spans="1:22" x14ac:dyDescent="0.3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2" x14ac:dyDescent="0.3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2" x14ac:dyDescent="0.3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3:21" x14ac:dyDescent="0.3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3:21" x14ac:dyDescent="0.3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3:21" x14ac:dyDescent="0.3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3:21" x14ac:dyDescent="0.3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3:21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3:21" x14ac:dyDescent="0.3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3:21" x14ac:dyDescent="0.3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3:21" x14ac:dyDescent="0.3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</sheetData>
  <phoneticPr fontId="12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96"/>
  <sheetViews>
    <sheetView topLeftCell="A103" workbookViewId="0">
      <selection activeCell="E128" sqref="E128"/>
    </sheetView>
  </sheetViews>
  <sheetFormatPr defaultColWidth="11" defaultRowHeight="13.5" x14ac:dyDescent="0.3"/>
  <cols>
    <col min="1" max="1" width="4.23046875" customWidth="1"/>
    <col min="2" max="2" width="18.765625" customWidth="1"/>
    <col min="3" max="3" width="20.3828125" customWidth="1"/>
    <col min="4" max="4" width="12.15234375" customWidth="1"/>
    <col min="5" max="5" width="12.765625" customWidth="1"/>
    <col min="6" max="6" width="13.61328125" customWidth="1"/>
    <col min="8" max="8" width="12.15234375" customWidth="1"/>
    <col min="13" max="13" width="12.765625" customWidth="1"/>
    <col min="15" max="15" width="15" customWidth="1"/>
  </cols>
  <sheetData>
    <row r="1" spans="1:17" x14ac:dyDescent="0.3">
      <c r="A1" s="129" t="s">
        <v>469</v>
      </c>
      <c r="D1" s="62" t="s">
        <v>408</v>
      </c>
    </row>
    <row r="3" spans="1:17" s="14" customFormat="1" x14ac:dyDescent="0.3">
      <c r="D3" s="123" t="s">
        <v>346</v>
      </c>
      <c r="E3" s="123" t="s">
        <v>347</v>
      </c>
      <c r="F3" s="123" t="s">
        <v>348</v>
      </c>
      <c r="G3" s="123" t="s">
        <v>109</v>
      </c>
      <c r="H3" s="123">
        <v>2019</v>
      </c>
      <c r="I3" s="123">
        <v>2020</v>
      </c>
      <c r="J3" s="123">
        <v>2021</v>
      </c>
      <c r="K3" s="123">
        <v>2022</v>
      </c>
      <c r="L3" s="123">
        <v>2023</v>
      </c>
      <c r="M3" s="123">
        <v>2024</v>
      </c>
      <c r="N3" s="123">
        <v>2025</v>
      </c>
      <c r="O3" s="123">
        <v>2026</v>
      </c>
      <c r="P3" s="123">
        <v>2027</v>
      </c>
      <c r="Q3" s="123">
        <v>2028</v>
      </c>
    </row>
    <row r="4" spans="1:17" s="14" customFormat="1" x14ac:dyDescent="0.3">
      <c r="A4" s="123">
        <v>1</v>
      </c>
      <c r="B4" s="123" t="s">
        <v>349</v>
      </c>
      <c r="E4" s="123" t="s">
        <v>409</v>
      </c>
    </row>
    <row r="5" spans="1:17" x14ac:dyDescent="0.3">
      <c r="A5" t="s">
        <v>186</v>
      </c>
      <c r="B5" t="s">
        <v>187</v>
      </c>
      <c r="D5" s="142">
        <v>1</v>
      </c>
      <c r="E5" s="138">
        <v>30000</v>
      </c>
      <c r="F5" s="142">
        <v>12</v>
      </c>
      <c r="H5" s="142">
        <v>0.25</v>
      </c>
      <c r="I5" s="142">
        <v>0.5</v>
      </c>
      <c r="J5" s="142">
        <v>0.5</v>
      </c>
      <c r="K5" s="142">
        <v>1</v>
      </c>
      <c r="L5" s="142">
        <v>1</v>
      </c>
      <c r="M5" s="142">
        <v>1</v>
      </c>
      <c r="N5" s="142">
        <v>1</v>
      </c>
      <c r="O5" s="142">
        <v>1</v>
      </c>
      <c r="P5" s="142">
        <v>1</v>
      </c>
      <c r="Q5" s="142">
        <v>1</v>
      </c>
    </row>
    <row r="6" spans="1:17" x14ac:dyDescent="0.3">
      <c r="B6" t="s">
        <v>371</v>
      </c>
      <c r="D6" s="142">
        <v>1</v>
      </c>
      <c r="E6" s="138">
        <v>25000</v>
      </c>
      <c r="F6" s="142">
        <v>12</v>
      </c>
      <c r="H6" s="142">
        <v>0.25</v>
      </c>
      <c r="I6" s="142">
        <v>1</v>
      </c>
      <c r="J6" s="142">
        <v>1</v>
      </c>
      <c r="K6" s="142">
        <v>1</v>
      </c>
      <c r="L6" s="142">
        <v>1</v>
      </c>
      <c r="M6" s="142">
        <v>1</v>
      </c>
      <c r="N6" s="142">
        <v>1</v>
      </c>
      <c r="O6" s="142">
        <v>1</v>
      </c>
      <c r="P6" s="142">
        <v>1</v>
      </c>
      <c r="Q6" s="142">
        <v>1</v>
      </c>
    </row>
    <row r="7" spans="1:17" x14ac:dyDescent="0.3">
      <c r="B7" t="s">
        <v>197</v>
      </c>
      <c r="D7" s="148"/>
      <c r="E7" s="136"/>
      <c r="F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x14ac:dyDescent="0.3">
      <c r="A8" t="s">
        <v>188</v>
      </c>
      <c r="B8" t="s">
        <v>189</v>
      </c>
      <c r="C8" t="s">
        <v>368</v>
      </c>
      <c r="D8" s="142">
        <v>1</v>
      </c>
      <c r="E8" s="138">
        <v>20000</v>
      </c>
      <c r="F8" s="142">
        <v>12</v>
      </c>
      <c r="H8" s="142">
        <v>0.25</v>
      </c>
      <c r="I8" s="142">
        <v>1</v>
      </c>
      <c r="J8" s="142">
        <v>1</v>
      </c>
      <c r="K8" s="142">
        <v>1</v>
      </c>
      <c r="L8" s="142">
        <v>1</v>
      </c>
      <c r="M8" s="142">
        <v>1</v>
      </c>
      <c r="N8" s="142">
        <v>1</v>
      </c>
      <c r="O8" s="142">
        <v>1</v>
      </c>
      <c r="P8" s="142">
        <v>1</v>
      </c>
      <c r="Q8" s="142">
        <v>1</v>
      </c>
    </row>
    <row r="9" spans="1:17" x14ac:dyDescent="0.3">
      <c r="A9" t="s">
        <v>190</v>
      </c>
      <c r="B9" t="s">
        <v>191</v>
      </c>
      <c r="D9" s="148"/>
      <c r="E9" s="136"/>
      <c r="F9" s="148"/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pans="1:17" x14ac:dyDescent="0.3">
      <c r="A10" t="s">
        <v>192</v>
      </c>
      <c r="C10" t="s">
        <v>369</v>
      </c>
      <c r="D10" s="142">
        <v>1</v>
      </c>
      <c r="E10" s="138">
        <v>10000</v>
      </c>
      <c r="F10" s="142">
        <v>4</v>
      </c>
      <c r="H10" s="142">
        <v>0</v>
      </c>
      <c r="I10" s="142">
        <v>1</v>
      </c>
      <c r="J10" s="142">
        <v>1</v>
      </c>
      <c r="K10" s="142">
        <v>1</v>
      </c>
      <c r="L10" s="142">
        <v>2</v>
      </c>
      <c r="M10" s="142">
        <v>2</v>
      </c>
      <c r="N10" s="142">
        <v>2</v>
      </c>
      <c r="O10" s="142">
        <v>2</v>
      </c>
      <c r="P10" s="142">
        <v>3</v>
      </c>
      <c r="Q10" s="142">
        <v>3</v>
      </c>
    </row>
    <row r="11" spans="1:17" x14ac:dyDescent="0.3">
      <c r="A11" t="s">
        <v>193</v>
      </c>
      <c r="C11" t="s">
        <v>370</v>
      </c>
      <c r="D11" s="142">
        <v>1</v>
      </c>
      <c r="E11" s="138">
        <v>10000</v>
      </c>
      <c r="F11" s="142">
        <v>10</v>
      </c>
      <c r="H11" s="142">
        <v>0</v>
      </c>
      <c r="I11" s="142">
        <v>1</v>
      </c>
      <c r="J11" s="142">
        <v>1</v>
      </c>
      <c r="K11" s="142">
        <v>1</v>
      </c>
      <c r="L11" s="142">
        <v>2</v>
      </c>
      <c r="M11" s="142">
        <v>2</v>
      </c>
      <c r="N11" s="142">
        <v>2</v>
      </c>
      <c r="O11" s="142">
        <v>2</v>
      </c>
      <c r="P11" s="142">
        <v>3</v>
      </c>
      <c r="Q11" s="142">
        <v>3</v>
      </c>
    </row>
    <row r="12" spans="1:17" x14ac:dyDescent="0.3">
      <c r="A12" t="s">
        <v>194</v>
      </c>
      <c r="B12" t="s">
        <v>195</v>
      </c>
      <c r="D12" s="142">
        <v>2</v>
      </c>
      <c r="E12" s="138">
        <v>5000</v>
      </c>
      <c r="F12" s="142">
        <v>12</v>
      </c>
      <c r="H12" s="142">
        <v>0</v>
      </c>
      <c r="I12" s="142">
        <v>1</v>
      </c>
      <c r="J12" s="142">
        <v>1</v>
      </c>
      <c r="K12" s="142">
        <v>1</v>
      </c>
      <c r="L12" s="142">
        <v>2</v>
      </c>
      <c r="M12" s="142">
        <v>2</v>
      </c>
      <c r="N12" s="142">
        <v>2</v>
      </c>
      <c r="O12" s="142">
        <v>2</v>
      </c>
      <c r="P12" s="142">
        <v>3</v>
      </c>
      <c r="Q12" s="142">
        <v>3</v>
      </c>
    </row>
    <row r="13" spans="1:17" x14ac:dyDescent="0.3">
      <c r="A13" t="s">
        <v>196</v>
      </c>
      <c r="B13" t="s">
        <v>235</v>
      </c>
      <c r="D13" s="142">
        <v>1</v>
      </c>
      <c r="E13" s="138">
        <v>20000</v>
      </c>
      <c r="F13" s="142">
        <v>12</v>
      </c>
      <c r="H13" s="142">
        <v>0.25</v>
      </c>
      <c r="I13" s="142">
        <v>1</v>
      </c>
      <c r="J13" s="142">
        <v>1</v>
      </c>
      <c r="K13" s="142">
        <v>1</v>
      </c>
      <c r="L13" s="142">
        <v>1</v>
      </c>
      <c r="M13" s="142">
        <v>1</v>
      </c>
      <c r="N13" s="142">
        <v>1</v>
      </c>
      <c r="O13" s="142">
        <v>1</v>
      </c>
      <c r="P13" s="142">
        <v>1</v>
      </c>
      <c r="Q13" s="142">
        <v>1</v>
      </c>
    </row>
    <row r="14" spans="1:17" s="129" customFormat="1" x14ac:dyDescent="0.3">
      <c r="B14" s="129" t="s">
        <v>79</v>
      </c>
      <c r="D14" s="129">
        <f>SUM(D5:D13)</f>
        <v>8</v>
      </c>
      <c r="F14" s="140"/>
    </row>
    <row r="15" spans="1:17" ht="27" x14ac:dyDescent="0.3">
      <c r="B15" t="s">
        <v>198</v>
      </c>
      <c r="E15" s="20" t="s">
        <v>174</v>
      </c>
      <c r="F15" s="138">
        <v>20000</v>
      </c>
      <c r="G15" t="s">
        <v>173</v>
      </c>
    </row>
    <row r="16" spans="1:17" x14ac:dyDescent="0.3">
      <c r="B16" t="s">
        <v>170</v>
      </c>
      <c r="H16" s="142">
        <v>2</v>
      </c>
      <c r="I16" s="142">
        <v>2</v>
      </c>
      <c r="J16" s="142">
        <v>2</v>
      </c>
      <c r="K16" s="142">
        <v>2</v>
      </c>
      <c r="L16" s="142">
        <v>2</v>
      </c>
      <c r="M16" s="142">
        <v>2</v>
      </c>
      <c r="N16" s="142">
        <v>4</v>
      </c>
      <c r="O16" s="142">
        <v>4</v>
      </c>
      <c r="P16" s="142">
        <v>4</v>
      </c>
      <c r="Q16" s="142">
        <v>4</v>
      </c>
    </row>
    <row r="17" spans="1:17" x14ac:dyDescent="0.3">
      <c r="A17" t="s">
        <v>199</v>
      </c>
      <c r="B17" t="s">
        <v>171</v>
      </c>
      <c r="H17" s="127">
        <f>H16</f>
        <v>2</v>
      </c>
      <c r="I17" s="127">
        <f t="shared" ref="I17:Q17" si="0">I16</f>
        <v>2</v>
      </c>
      <c r="J17" s="127">
        <f t="shared" si="0"/>
        <v>2</v>
      </c>
      <c r="K17" s="127">
        <f t="shared" si="0"/>
        <v>2</v>
      </c>
      <c r="L17" s="127">
        <f t="shared" si="0"/>
        <v>2</v>
      </c>
      <c r="M17" s="127">
        <f t="shared" si="0"/>
        <v>2</v>
      </c>
      <c r="N17" s="127">
        <f t="shared" si="0"/>
        <v>4</v>
      </c>
      <c r="O17" s="127">
        <f t="shared" si="0"/>
        <v>4</v>
      </c>
      <c r="P17" s="127">
        <f t="shared" si="0"/>
        <v>4</v>
      </c>
      <c r="Q17" s="127">
        <f t="shared" si="0"/>
        <v>4</v>
      </c>
    </row>
    <row r="18" spans="1:17" x14ac:dyDescent="0.3">
      <c r="E18" t="s">
        <v>172</v>
      </c>
      <c r="F18" t="s">
        <v>148</v>
      </c>
      <c r="G18" t="s">
        <v>178</v>
      </c>
    </row>
    <row r="19" spans="1:17" x14ac:dyDescent="0.3">
      <c r="A19" t="s">
        <v>200</v>
      </c>
      <c r="B19" t="s">
        <v>43</v>
      </c>
      <c r="E19" s="138">
        <v>2000</v>
      </c>
      <c r="F19" s="142">
        <v>4</v>
      </c>
      <c r="H19" s="127">
        <f>H16</f>
        <v>2</v>
      </c>
      <c r="I19" s="127">
        <f t="shared" ref="I19:Q19" si="1">I16</f>
        <v>2</v>
      </c>
      <c r="J19" s="127">
        <f t="shared" si="1"/>
        <v>2</v>
      </c>
      <c r="K19" s="127">
        <f t="shared" si="1"/>
        <v>2</v>
      </c>
      <c r="L19" s="127">
        <f t="shared" si="1"/>
        <v>2</v>
      </c>
      <c r="M19" s="127">
        <f t="shared" si="1"/>
        <v>2</v>
      </c>
      <c r="N19" s="127">
        <f t="shared" si="1"/>
        <v>4</v>
      </c>
      <c r="O19" s="127">
        <f t="shared" si="1"/>
        <v>4</v>
      </c>
      <c r="P19" s="127">
        <f t="shared" si="1"/>
        <v>4</v>
      </c>
      <c r="Q19" s="127">
        <f t="shared" si="1"/>
        <v>4</v>
      </c>
    </row>
    <row r="20" spans="1:17" x14ac:dyDescent="0.3">
      <c r="E20" s="2" t="s">
        <v>415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7" x14ac:dyDescent="0.3">
      <c r="A21" t="s">
        <v>201</v>
      </c>
      <c r="B21" t="s">
        <v>179</v>
      </c>
      <c r="E21" s="142">
        <v>100</v>
      </c>
      <c r="F21" s="142">
        <v>10</v>
      </c>
      <c r="G21" s="142">
        <v>2</v>
      </c>
      <c r="H21" s="127">
        <f>H16*$G$21</f>
        <v>4</v>
      </c>
      <c r="I21" s="127">
        <f t="shared" ref="I21:Q21" si="2">I16*$G$21</f>
        <v>4</v>
      </c>
      <c r="J21" s="127">
        <f t="shared" si="2"/>
        <v>4</v>
      </c>
      <c r="K21" s="127">
        <f t="shared" si="2"/>
        <v>4</v>
      </c>
      <c r="L21" s="127">
        <f t="shared" si="2"/>
        <v>4</v>
      </c>
      <c r="M21" s="127">
        <f t="shared" si="2"/>
        <v>4</v>
      </c>
      <c r="N21" s="127">
        <f t="shared" si="2"/>
        <v>8</v>
      </c>
      <c r="O21" s="127">
        <f t="shared" si="2"/>
        <v>8</v>
      </c>
      <c r="P21" s="127">
        <f t="shared" si="2"/>
        <v>8</v>
      </c>
      <c r="Q21" s="127">
        <f t="shared" si="2"/>
        <v>8</v>
      </c>
    </row>
    <row r="23" spans="1:17" x14ac:dyDescent="0.3">
      <c r="A23" t="s">
        <v>116</v>
      </c>
      <c r="B23" t="s">
        <v>117</v>
      </c>
      <c r="C23" t="s">
        <v>410</v>
      </c>
    </row>
    <row r="25" spans="1:17" s="14" customFormat="1" x14ac:dyDescent="0.3">
      <c r="A25" s="123">
        <v>2</v>
      </c>
      <c r="B25" s="123" t="s">
        <v>350</v>
      </c>
      <c r="E25" s="123" t="s">
        <v>351</v>
      </c>
      <c r="G25" s="14" t="s">
        <v>157</v>
      </c>
      <c r="K25" s="146">
        <v>10</v>
      </c>
      <c r="L25" s="14" t="s">
        <v>412</v>
      </c>
      <c r="M25" s="146">
        <v>8</v>
      </c>
      <c r="N25" s="14" t="s">
        <v>411</v>
      </c>
      <c r="O25" s="149">
        <f>M25*K25</f>
        <v>80</v>
      </c>
    </row>
    <row r="26" spans="1:17" x14ac:dyDescent="0.3">
      <c r="A26" t="s">
        <v>202</v>
      </c>
      <c r="B26" t="s">
        <v>203</v>
      </c>
      <c r="C26" t="s">
        <v>204</v>
      </c>
      <c r="E26" s="137">
        <v>0.2</v>
      </c>
      <c r="L26" t="s">
        <v>158</v>
      </c>
      <c r="N26" s="137">
        <v>0.15</v>
      </c>
      <c r="O26" s="124">
        <f>(1-N26)*O25</f>
        <v>68</v>
      </c>
    </row>
    <row r="27" spans="1:17" x14ac:dyDescent="0.3">
      <c r="C27" t="s">
        <v>257</v>
      </c>
      <c r="E27" s="137">
        <v>0.75</v>
      </c>
    </row>
    <row r="28" spans="1:17" x14ac:dyDescent="0.3">
      <c r="C28" t="s">
        <v>205</v>
      </c>
      <c r="E28" s="137">
        <v>0.05</v>
      </c>
    </row>
    <row r="29" spans="1:17" x14ac:dyDescent="0.3">
      <c r="E29" s="1"/>
    </row>
    <row r="30" spans="1:17" x14ac:dyDescent="0.3">
      <c r="A30" t="s">
        <v>253</v>
      </c>
      <c r="B30" t="s">
        <v>254</v>
      </c>
      <c r="C30" t="s">
        <v>258</v>
      </c>
      <c r="E30" s="137">
        <v>0.05</v>
      </c>
      <c r="G30" t="s">
        <v>255</v>
      </c>
      <c r="J30" t="s">
        <v>256</v>
      </c>
      <c r="K30" s="142">
        <v>100</v>
      </c>
    </row>
    <row r="31" spans="1:17" x14ac:dyDescent="0.3">
      <c r="E31" s="1"/>
    </row>
    <row r="33" spans="1:20" s="14" customFormat="1" x14ac:dyDescent="0.3">
      <c r="A33" s="123">
        <v>3</v>
      </c>
      <c r="B33" s="123" t="s">
        <v>352</v>
      </c>
      <c r="K33" s="99">
        <v>2019</v>
      </c>
      <c r="L33" s="99">
        <v>2020</v>
      </c>
      <c r="M33" s="99">
        <v>2021</v>
      </c>
      <c r="N33" s="99">
        <v>2022</v>
      </c>
      <c r="O33" s="99">
        <v>2023</v>
      </c>
      <c r="P33" s="99">
        <v>2024</v>
      </c>
      <c r="Q33" s="99">
        <v>2025</v>
      </c>
      <c r="R33" s="99">
        <v>2026</v>
      </c>
      <c r="S33" s="99">
        <v>2027</v>
      </c>
      <c r="T33" s="99">
        <v>2028</v>
      </c>
    </row>
    <row r="34" spans="1:20" x14ac:dyDescent="0.3">
      <c r="A34" t="s">
        <v>206</v>
      </c>
      <c r="B34" t="s">
        <v>207</v>
      </c>
      <c r="C34" s="142">
        <v>2000</v>
      </c>
      <c r="D34" t="s">
        <v>65</v>
      </c>
      <c r="E34" s="150">
        <v>4</v>
      </c>
      <c r="F34" t="s">
        <v>66</v>
      </c>
      <c r="G34" t="s">
        <v>68</v>
      </c>
      <c r="H34" t="s">
        <v>69</v>
      </c>
      <c r="I34" t="s">
        <v>67</v>
      </c>
      <c r="K34">
        <f>'8 Production planning'!C40</f>
        <v>0</v>
      </c>
      <c r="L34">
        <f>'8 Production planning'!D40</f>
        <v>1</v>
      </c>
      <c r="M34">
        <f>'8 Production planning'!E40</f>
        <v>2</v>
      </c>
      <c r="N34">
        <f>'8 Production planning'!F40</f>
        <v>2</v>
      </c>
      <c r="O34">
        <f>'8 Production planning'!G40</f>
        <v>2</v>
      </c>
      <c r="P34">
        <f>'8 Production planning'!H40</f>
        <v>3</v>
      </c>
      <c r="Q34">
        <f>'8 Production planning'!I40</f>
        <v>3</v>
      </c>
      <c r="R34">
        <f>'8 Production planning'!J40</f>
        <v>4</v>
      </c>
      <c r="S34">
        <f>'8 Production planning'!K40</f>
        <v>5</v>
      </c>
      <c r="T34">
        <f>'8 Production planning'!L40</f>
        <v>5</v>
      </c>
    </row>
    <row r="35" spans="1:20" x14ac:dyDescent="0.3">
      <c r="C35" s="148"/>
      <c r="E35" s="148"/>
      <c r="I35" t="s">
        <v>414</v>
      </c>
    </row>
    <row r="36" spans="1:20" x14ac:dyDescent="0.3">
      <c r="A36" t="s">
        <v>209</v>
      </c>
      <c r="B36" t="s">
        <v>210</v>
      </c>
      <c r="C36" s="142">
        <v>30000</v>
      </c>
      <c r="D36" t="s">
        <v>65</v>
      </c>
      <c r="E36" s="142">
        <v>10</v>
      </c>
      <c r="F36" t="s">
        <v>208</v>
      </c>
      <c r="G36" t="s">
        <v>70</v>
      </c>
      <c r="H36" t="s">
        <v>71</v>
      </c>
      <c r="I36" t="s">
        <v>67</v>
      </c>
      <c r="K36">
        <f>'8 Production planning'!C45</f>
        <v>0</v>
      </c>
      <c r="L36">
        <f>'8 Production planning'!D45</f>
        <v>1</v>
      </c>
      <c r="M36">
        <f>'8 Production planning'!E45</f>
        <v>1</v>
      </c>
      <c r="N36">
        <f>'8 Production planning'!F45</f>
        <v>1</v>
      </c>
      <c r="O36">
        <f>'8 Production planning'!G45</f>
        <v>1</v>
      </c>
      <c r="P36">
        <f>'8 Production planning'!H45</f>
        <v>1</v>
      </c>
      <c r="Q36">
        <f>'8 Production planning'!I45</f>
        <v>1</v>
      </c>
      <c r="R36">
        <f>'8 Production planning'!J45</f>
        <v>1</v>
      </c>
      <c r="S36">
        <f>'8 Production planning'!K45</f>
        <v>1</v>
      </c>
      <c r="T36">
        <f>'8 Production planning'!L45</f>
        <v>1</v>
      </c>
    </row>
    <row r="37" spans="1:20" x14ac:dyDescent="0.3">
      <c r="A37" t="s">
        <v>203</v>
      </c>
      <c r="C37" s="148"/>
      <c r="E37" s="148"/>
    </row>
    <row r="38" spans="1:20" x14ac:dyDescent="0.3">
      <c r="A38" t="s">
        <v>239</v>
      </c>
      <c r="B38" t="s">
        <v>240</v>
      </c>
      <c r="C38" s="142">
        <v>2000</v>
      </c>
      <c r="D38" t="s">
        <v>324</v>
      </c>
      <c r="E38" s="142">
        <v>12</v>
      </c>
      <c r="F38" t="s">
        <v>326</v>
      </c>
      <c r="K38" s="142">
        <v>0.25</v>
      </c>
      <c r="L38" s="142">
        <v>1</v>
      </c>
      <c r="M38" s="142">
        <v>1</v>
      </c>
      <c r="N38" s="142">
        <v>1</v>
      </c>
      <c r="O38" s="142">
        <v>1</v>
      </c>
      <c r="P38" s="142">
        <v>1</v>
      </c>
      <c r="Q38" s="142">
        <v>1</v>
      </c>
      <c r="R38" s="142">
        <v>1</v>
      </c>
      <c r="S38" s="142">
        <v>1</v>
      </c>
      <c r="T38" s="142">
        <v>1</v>
      </c>
    </row>
    <row r="39" spans="1:20" x14ac:dyDescent="0.3">
      <c r="C39" s="148"/>
      <c r="E39" s="148"/>
    </row>
    <row r="40" spans="1:20" x14ac:dyDescent="0.3">
      <c r="A40" t="s">
        <v>214</v>
      </c>
      <c r="B40" t="s">
        <v>212</v>
      </c>
      <c r="C40" s="142">
        <v>1000</v>
      </c>
      <c r="D40" t="s">
        <v>213</v>
      </c>
      <c r="E40" s="142">
        <v>12</v>
      </c>
      <c r="F40" t="s">
        <v>326</v>
      </c>
      <c r="K40" s="142">
        <v>0.25</v>
      </c>
      <c r="L40" s="142">
        <v>1</v>
      </c>
      <c r="M40" s="142">
        <v>1</v>
      </c>
      <c r="N40" s="142">
        <v>1</v>
      </c>
      <c r="O40" s="142">
        <v>1</v>
      </c>
      <c r="P40" s="142">
        <v>1</v>
      </c>
      <c r="Q40" s="142">
        <v>1</v>
      </c>
      <c r="R40" s="142">
        <v>1</v>
      </c>
      <c r="S40" s="142">
        <v>1</v>
      </c>
      <c r="T40" s="142">
        <v>1</v>
      </c>
    </row>
    <row r="41" spans="1:20" x14ac:dyDescent="0.3">
      <c r="C41" s="148"/>
      <c r="E41" s="148"/>
    </row>
    <row r="42" spans="1:20" x14ac:dyDescent="0.3">
      <c r="A42" t="s">
        <v>237</v>
      </c>
      <c r="B42" t="s">
        <v>216</v>
      </c>
      <c r="C42" s="142">
        <v>30000</v>
      </c>
      <c r="D42" t="s">
        <v>324</v>
      </c>
      <c r="E42" s="142">
        <v>12</v>
      </c>
      <c r="F42" t="s">
        <v>325</v>
      </c>
      <c r="K42" s="142">
        <v>0.25</v>
      </c>
      <c r="L42" s="142">
        <v>1</v>
      </c>
      <c r="M42" s="66">
        <f>L42*1.05</f>
        <v>1.05</v>
      </c>
      <c r="N42" s="66">
        <f t="shared" ref="N42:T42" si="3">M42*1.05</f>
        <v>1.1025</v>
      </c>
      <c r="O42" s="66">
        <f t="shared" si="3"/>
        <v>1.1576250000000001</v>
      </c>
      <c r="P42" s="66">
        <f t="shared" si="3"/>
        <v>1.2155062500000002</v>
      </c>
      <c r="Q42" s="66">
        <f t="shared" si="3"/>
        <v>1.2762815625000004</v>
      </c>
      <c r="R42" s="66">
        <f t="shared" si="3"/>
        <v>1.3400956406250004</v>
      </c>
      <c r="S42" s="66">
        <f t="shared" si="3"/>
        <v>1.4071004226562505</v>
      </c>
      <c r="T42" s="66">
        <f t="shared" si="3"/>
        <v>1.477455443789063</v>
      </c>
    </row>
    <row r="44" spans="1:20" x14ac:dyDescent="0.3">
      <c r="A44" t="s">
        <v>238</v>
      </c>
      <c r="B44" t="s">
        <v>236</v>
      </c>
    </row>
    <row r="45" spans="1:20" x14ac:dyDescent="0.3">
      <c r="C45" t="s">
        <v>322</v>
      </c>
      <c r="E45" t="s">
        <v>323</v>
      </c>
      <c r="G45" s="137">
        <v>0.02</v>
      </c>
    </row>
    <row r="46" spans="1:20" ht="40.5" x14ac:dyDescent="0.3">
      <c r="C46" s="20" t="s">
        <v>72</v>
      </c>
      <c r="E46" t="s">
        <v>73</v>
      </c>
      <c r="G46" s="150">
        <v>15000</v>
      </c>
    </row>
    <row r="47" spans="1:20" x14ac:dyDescent="0.3">
      <c r="C47" t="s">
        <v>74</v>
      </c>
      <c r="E47" t="s">
        <v>75</v>
      </c>
      <c r="G47" s="150">
        <v>2000</v>
      </c>
    </row>
    <row r="49" spans="1:20" x14ac:dyDescent="0.3">
      <c r="A49" t="s">
        <v>264</v>
      </c>
      <c r="B49" t="s">
        <v>265</v>
      </c>
      <c r="E49" t="s">
        <v>266</v>
      </c>
      <c r="H49" s="137">
        <v>0.25</v>
      </c>
      <c r="I49" t="s">
        <v>76</v>
      </c>
    </row>
    <row r="51" spans="1:20" x14ac:dyDescent="0.3">
      <c r="A51" t="s">
        <v>267</v>
      </c>
      <c r="B51" t="s">
        <v>268</v>
      </c>
      <c r="E51" t="s">
        <v>269</v>
      </c>
      <c r="H51" s="137">
        <v>0.25</v>
      </c>
      <c r="I51" t="s">
        <v>455</v>
      </c>
    </row>
    <row r="52" spans="1:20" x14ac:dyDescent="0.3">
      <c r="K52" s="62">
        <v>2019</v>
      </c>
      <c r="L52" s="62">
        <v>2020</v>
      </c>
      <c r="M52" s="62">
        <v>2021</v>
      </c>
      <c r="N52" s="62">
        <v>2022</v>
      </c>
      <c r="O52" s="62">
        <v>2023</v>
      </c>
      <c r="P52" s="62">
        <v>2024</v>
      </c>
      <c r="Q52" s="62">
        <v>2025</v>
      </c>
      <c r="R52" s="62">
        <v>2026</v>
      </c>
      <c r="S52" s="62">
        <v>2027</v>
      </c>
      <c r="T52" s="62">
        <v>2028</v>
      </c>
    </row>
    <row r="53" spans="1:20" x14ac:dyDescent="0.3">
      <c r="A53" t="s">
        <v>126</v>
      </c>
      <c r="B53" t="s">
        <v>142</v>
      </c>
      <c r="C53" t="s">
        <v>314</v>
      </c>
      <c r="D53" s="142">
        <v>20000</v>
      </c>
      <c r="E53" t="s">
        <v>315</v>
      </c>
      <c r="G53" s="142">
        <v>12</v>
      </c>
      <c r="K53" s="142">
        <v>0.25</v>
      </c>
      <c r="L53" s="142">
        <v>1</v>
      </c>
      <c r="M53" s="142">
        <v>1</v>
      </c>
      <c r="N53" s="142">
        <v>1</v>
      </c>
      <c r="O53" s="142">
        <v>1</v>
      </c>
      <c r="P53" s="142">
        <v>1</v>
      </c>
      <c r="Q53" s="142">
        <v>1</v>
      </c>
      <c r="R53" s="142">
        <v>1</v>
      </c>
      <c r="S53" s="142">
        <v>1</v>
      </c>
      <c r="T53" s="142">
        <v>1</v>
      </c>
    </row>
    <row r="54" spans="1:20" x14ac:dyDescent="0.3">
      <c r="I54" t="s">
        <v>77</v>
      </c>
    </row>
    <row r="55" spans="1:20" x14ac:dyDescent="0.3">
      <c r="A55" t="s">
        <v>316</v>
      </c>
      <c r="B55" t="s">
        <v>318</v>
      </c>
      <c r="C55" t="s">
        <v>317</v>
      </c>
      <c r="D55" s="142">
        <v>2</v>
      </c>
      <c r="E55" t="s">
        <v>319</v>
      </c>
      <c r="F55" s="142">
        <v>2</v>
      </c>
      <c r="G55" t="s">
        <v>320</v>
      </c>
      <c r="J55" s="142">
        <v>10000</v>
      </c>
      <c r="K55" s="142">
        <v>0.25</v>
      </c>
      <c r="L55" s="142">
        <v>1</v>
      </c>
      <c r="M55" s="142">
        <v>1</v>
      </c>
      <c r="N55" s="142">
        <v>1</v>
      </c>
      <c r="O55" s="142">
        <v>1</v>
      </c>
      <c r="P55" s="142">
        <v>1</v>
      </c>
      <c r="Q55" s="142">
        <v>1</v>
      </c>
      <c r="R55" s="142">
        <v>1</v>
      </c>
      <c r="S55" s="142">
        <v>1</v>
      </c>
      <c r="T55" s="142">
        <v>1</v>
      </c>
    </row>
    <row r="56" spans="1:20" x14ac:dyDescent="0.3">
      <c r="I56" t="s">
        <v>76</v>
      </c>
    </row>
    <row r="57" spans="1:20" s="14" customFormat="1" x14ac:dyDescent="0.3">
      <c r="A57" s="123">
        <v>4</v>
      </c>
      <c r="B57" s="123" t="s">
        <v>353</v>
      </c>
      <c r="C57" s="123"/>
      <c r="D57" s="123" t="s">
        <v>354</v>
      </c>
      <c r="E57" s="123" t="s">
        <v>355</v>
      </c>
      <c r="F57" s="123" t="s">
        <v>356</v>
      </c>
      <c r="G57" s="123"/>
      <c r="H57" s="123" t="s">
        <v>357</v>
      </c>
    </row>
    <row r="58" spans="1:20" x14ac:dyDescent="0.3">
      <c r="A58" t="s">
        <v>217</v>
      </c>
      <c r="B58" t="s">
        <v>218</v>
      </c>
      <c r="D58" s="142">
        <v>1</v>
      </c>
      <c r="E58" s="138">
        <v>300000</v>
      </c>
      <c r="G58" s="137">
        <v>0.2</v>
      </c>
      <c r="H58" s="2">
        <f>E58*G58</f>
        <v>60000</v>
      </c>
    </row>
    <row r="59" spans="1:20" x14ac:dyDescent="0.3">
      <c r="A59" t="s">
        <v>209</v>
      </c>
      <c r="B59" t="s">
        <v>131</v>
      </c>
      <c r="D59" s="142">
        <v>2</v>
      </c>
      <c r="E59" s="138">
        <v>5000</v>
      </c>
      <c r="G59" s="137">
        <v>0.1</v>
      </c>
      <c r="H59" s="2">
        <f t="shared" ref="H59:H68" si="4">E59*G59</f>
        <v>500</v>
      </c>
    </row>
    <row r="60" spans="1:20" x14ac:dyDescent="0.3">
      <c r="A60" t="s">
        <v>211</v>
      </c>
      <c r="B60" t="s">
        <v>219</v>
      </c>
      <c r="D60" s="142">
        <v>1</v>
      </c>
      <c r="E60" s="138">
        <v>300000</v>
      </c>
      <c r="G60" s="137">
        <v>0.2</v>
      </c>
      <c r="H60" s="2">
        <f t="shared" si="4"/>
        <v>60000</v>
      </c>
      <c r="I60" t="s">
        <v>455</v>
      </c>
    </row>
    <row r="61" spans="1:20" x14ac:dyDescent="0.3">
      <c r="A61" t="s">
        <v>214</v>
      </c>
      <c r="B61" t="s">
        <v>144</v>
      </c>
      <c r="D61" s="142">
        <v>3</v>
      </c>
      <c r="E61" s="138">
        <v>40000</v>
      </c>
      <c r="G61" s="137">
        <v>0.2</v>
      </c>
      <c r="H61" s="2">
        <f t="shared" si="4"/>
        <v>8000</v>
      </c>
      <c r="I61" t="s">
        <v>455</v>
      </c>
    </row>
    <row r="62" spans="1:20" x14ac:dyDescent="0.3">
      <c r="A62" t="s">
        <v>237</v>
      </c>
      <c r="B62" t="s">
        <v>145</v>
      </c>
      <c r="D62" s="142">
        <v>4</v>
      </c>
      <c r="E62" s="138">
        <v>1000</v>
      </c>
      <c r="G62" s="137">
        <v>0.1</v>
      </c>
      <c r="H62" s="2">
        <f t="shared" si="4"/>
        <v>100</v>
      </c>
    </row>
    <row r="63" spans="1:20" x14ac:dyDescent="0.3">
      <c r="A63" t="s">
        <v>238</v>
      </c>
      <c r="B63" t="s">
        <v>300</v>
      </c>
      <c r="D63" s="142">
        <v>4</v>
      </c>
      <c r="E63" s="138">
        <v>750</v>
      </c>
      <c r="G63" s="137">
        <v>0.1</v>
      </c>
      <c r="H63" s="2">
        <f t="shared" si="4"/>
        <v>75</v>
      </c>
    </row>
    <row r="64" spans="1:20" x14ac:dyDescent="0.3">
      <c r="A64" t="s">
        <v>126</v>
      </c>
      <c r="B64" t="s">
        <v>125</v>
      </c>
      <c r="D64" s="142">
        <v>2</v>
      </c>
      <c r="E64" s="138">
        <v>750</v>
      </c>
      <c r="G64" s="137">
        <v>0.1</v>
      </c>
      <c r="H64" s="2">
        <f t="shared" si="4"/>
        <v>75</v>
      </c>
    </row>
    <row r="65" spans="1:9" x14ac:dyDescent="0.3">
      <c r="A65" t="s">
        <v>132</v>
      </c>
      <c r="B65" t="s">
        <v>302</v>
      </c>
      <c r="D65" s="142">
        <v>1</v>
      </c>
      <c r="E65" s="138">
        <v>1000</v>
      </c>
      <c r="G65" s="137">
        <v>0.1</v>
      </c>
      <c r="H65" s="2">
        <f t="shared" si="4"/>
        <v>100</v>
      </c>
      <c r="I65" t="s">
        <v>67</v>
      </c>
    </row>
    <row r="66" spans="1:9" x14ac:dyDescent="0.3">
      <c r="A66" t="s">
        <v>133</v>
      </c>
      <c r="B66" t="s">
        <v>127</v>
      </c>
      <c r="D66" s="142">
        <v>8</v>
      </c>
      <c r="E66" s="138">
        <v>15000</v>
      </c>
      <c r="G66" s="137">
        <v>0.25</v>
      </c>
      <c r="H66" s="2">
        <f t="shared" si="4"/>
        <v>3750</v>
      </c>
      <c r="I66" t="s">
        <v>78</v>
      </c>
    </row>
    <row r="67" spans="1:9" x14ac:dyDescent="0.3">
      <c r="A67" t="s">
        <v>134</v>
      </c>
      <c r="B67" t="s">
        <v>128</v>
      </c>
      <c r="D67" s="142">
        <v>2</v>
      </c>
      <c r="E67" s="138">
        <v>15000</v>
      </c>
      <c r="G67" s="137">
        <v>0.25</v>
      </c>
      <c r="H67" s="2">
        <f t="shared" si="4"/>
        <v>3750</v>
      </c>
      <c r="I67" t="s">
        <v>455</v>
      </c>
    </row>
    <row r="68" spans="1:9" x14ac:dyDescent="0.3">
      <c r="A68" t="s">
        <v>129</v>
      </c>
      <c r="B68" t="s">
        <v>92</v>
      </c>
      <c r="D68" s="142">
        <v>5</v>
      </c>
      <c r="E68" s="138">
        <v>3000</v>
      </c>
      <c r="G68" s="137">
        <v>0.1</v>
      </c>
      <c r="H68" s="2">
        <f t="shared" si="4"/>
        <v>300</v>
      </c>
    </row>
    <row r="69" spans="1:9" x14ac:dyDescent="0.3">
      <c r="A69" t="s">
        <v>93</v>
      </c>
      <c r="B69" t="s">
        <v>185</v>
      </c>
      <c r="E69" s="136"/>
    </row>
    <row r="70" spans="1:9" x14ac:dyDescent="0.3">
      <c r="C70" t="s">
        <v>140</v>
      </c>
      <c r="D70" s="142">
        <v>1</v>
      </c>
      <c r="E70" s="138">
        <v>700</v>
      </c>
    </row>
    <row r="71" spans="1:9" x14ac:dyDescent="0.3">
      <c r="C71" t="s">
        <v>139</v>
      </c>
      <c r="D71" s="142">
        <v>1</v>
      </c>
      <c r="E71" s="138">
        <v>50</v>
      </c>
    </row>
    <row r="72" spans="1:9" x14ac:dyDescent="0.3">
      <c r="C72" t="s">
        <v>141</v>
      </c>
      <c r="D72" s="142">
        <v>1</v>
      </c>
      <c r="E72" s="138">
        <v>50</v>
      </c>
      <c r="F72" t="s">
        <v>34</v>
      </c>
    </row>
    <row r="73" spans="1:9" x14ac:dyDescent="0.3">
      <c r="C73" t="s">
        <v>138</v>
      </c>
      <c r="D73" s="142">
        <v>1</v>
      </c>
      <c r="E73" s="138">
        <v>1000</v>
      </c>
    </row>
    <row r="74" spans="1:9" x14ac:dyDescent="0.3">
      <c r="A74" t="s">
        <v>94</v>
      </c>
      <c r="B74" t="s">
        <v>392</v>
      </c>
      <c r="D74" s="142">
        <v>2</v>
      </c>
      <c r="E74" s="138">
        <v>500000</v>
      </c>
      <c r="G74" s="137">
        <v>0.25</v>
      </c>
      <c r="H74" s="2">
        <f>G74*E74</f>
        <v>125000</v>
      </c>
    </row>
    <row r="75" spans="1:9" x14ac:dyDescent="0.3">
      <c r="A75" t="s">
        <v>136</v>
      </c>
      <c r="B75" t="s">
        <v>135</v>
      </c>
      <c r="D75" s="142">
        <v>2</v>
      </c>
      <c r="E75" s="138">
        <v>10000</v>
      </c>
      <c r="G75" s="137">
        <v>0.2</v>
      </c>
      <c r="H75" s="2">
        <f t="shared" ref="H75:H82" si="5">G75*E75</f>
        <v>2000</v>
      </c>
    </row>
    <row r="76" spans="1:9" x14ac:dyDescent="0.3">
      <c r="A76" t="s">
        <v>224</v>
      </c>
      <c r="B76" t="s">
        <v>416</v>
      </c>
      <c r="D76" s="142">
        <v>4</v>
      </c>
      <c r="E76" s="138">
        <v>5000</v>
      </c>
      <c r="G76" s="137">
        <v>0.1</v>
      </c>
      <c r="H76" s="2">
        <f t="shared" si="5"/>
        <v>500</v>
      </c>
    </row>
    <row r="77" spans="1:9" x14ac:dyDescent="0.3">
      <c r="A77" t="s">
        <v>225</v>
      </c>
      <c r="B77" t="s">
        <v>417</v>
      </c>
      <c r="D77" s="142">
        <v>2</v>
      </c>
      <c r="E77" s="138">
        <v>15000</v>
      </c>
      <c r="G77" s="137">
        <v>0.1</v>
      </c>
      <c r="H77" s="2">
        <f t="shared" si="5"/>
        <v>1500</v>
      </c>
    </row>
    <row r="78" spans="1:9" x14ac:dyDescent="0.3">
      <c r="A78" t="s">
        <v>226</v>
      </c>
      <c r="B78" t="s">
        <v>241</v>
      </c>
      <c r="D78" s="142"/>
      <c r="E78" s="136"/>
      <c r="G78" s="142"/>
      <c r="H78" s="2" t="s">
        <v>279</v>
      </c>
    </row>
    <row r="79" spans="1:9" x14ac:dyDescent="0.3">
      <c r="A79" t="s">
        <v>95</v>
      </c>
      <c r="B79" t="s">
        <v>119</v>
      </c>
      <c r="D79" s="142">
        <v>2</v>
      </c>
      <c r="E79" s="138">
        <v>10000</v>
      </c>
      <c r="G79" s="137">
        <v>0.1</v>
      </c>
      <c r="H79" s="2">
        <f t="shared" si="5"/>
        <v>1000</v>
      </c>
    </row>
    <row r="80" spans="1:9" x14ac:dyDescent="0.3">
      <c r="A80" t="s">
        <v>96</v>
      </c>
      <c r="B80" t="s">
        <v>120</v>
      </c>
      <c r="C80" t="s">
        <v>121</v>
      </c>
      <c r="D80" s="142">
        <v>1</v>
      </c>
      <c r="E80" s="138">
        <v>30000</v>
      </c>
      <c r="G80" s="137">
        <v>0.25</v>
      </c>
      <c r="H80" s="2">
        <f t="shared" si="5"/>
        <v>7500</v>
      </c>
    </row>
    <row r="81" spans="1:17" x14ac:dyDescent="0.3">
      <c r="C81" t="s">
        <v>122</v>
      </c>
      <c r="D81" s="142">
        <v>1</v>
      </c>
      <c r="E81" s="138">
        <v>30000</v>
      </c>
      <c r="G81" s="137">
        <v>0.25</v>
      </c>
      <c r="H81" s="2">
        <f t="shared" si="5"/>
        <v>7500</v>
      </c>
    </row>
    <row r="82" spans="1:17" x14ac:dyDescent="0.3">
      <c r="C82" t="s">
        <v>91</v>
      </c>
      <c r="D82" s="142">
        <v>1</v>
      </c>
      <c r="E82" s="138">
        <v>15000</v>
      </c>
      <c r="G82" s="137">
        <v>0.25</v>
      </c>
      <c r="H82" s="2">
        <f t="shared" si="5"/>
        <v>3750</v>
      </c>
    </row>
    <row r="84" spans="1:17" x14ac:dyDescent="0.3">
      <c r="A84" s="62">
        <v>5</v>
      </c>
      <c r="B84" s="62" t="s">
        <v>358</v>
      </c>
      <c r="C84" s="62"/>
      <c r="D84" s="62"/>
      <c r="E84" s="62">
        <v>2019</v>
      </c>
      <c r="F84" s="62">
        <v>2020</v>
      </c>
      <c r="G84" s="62">
        <v>2021</v>
      </c>
      <c r="H84" s="62">
        <v>2022</v>
      </c>
      <c r="I84" s="62">
        <v>2023</v>
      </c>
      <c r="J84" s="62">
        <v>2024</v>
      </c>
      <c r="K84" s="62">
        <v>2025</v>
      </c>
      <c r="L84" s="62">
        <v>2026</v>
      </c>
      <c r="M84" s="62">
        <v>2027</v>
      </c>
      <c r="N84" s="62">
        <v>2028</v>
      </c>
    </row>
    <row r="85" spans="1:17" x14ac:dyDescent="0.3">
      <c r="D85" t="s">
        <v>38</v>
      </c>
      <c r="E85" t="s">
        <v>276</v>
      </c>
    </row>
    <row r="86" spans="1:17" x14ac:dyDescent="0.3">
      <c r="A86" t="s">
        <v>102</v>
      </c>
      <c r="B86" t="s">
        <v>37</v>
      </c>
      <c r="D86" s="137">
        <v>0.15</v>
      </c>
      <c r="E86" s="142">
        <v>10000</v>
      </c>
      <c r="F86" s="128">
        <f>E86*(1+$D$86)</f>
        <v>11500</v>
      </c>
      <c r="G86" s="128">
        <f t="shared" ref="G86:N86" si="6">F86*(1+$D$86)</f>
        <v>13224.999999999998</v>
      </c>
      <c r="H86" s="128">
        <f t="shared" si="6"/>
        <v>15208.749999999996</v>
      </c>
      <c r="I86" s="128">
        <f t="shared" si="6"/>
        <v>17490.062499999993</v>
      </c>
      <c r="J86" s="128">
        <f t="shared" si="6"/>
        <v>20113.571874999991</v>
      </c>
      <c r="K86" s="128">
        <f t="shared" si="6"/>
        <v>23130.607656249987</v>
      </c>
      <c r="L86" s="128">
        <f t="shared" si="6"/>
        <v>26600.198804687483</v>
      </c>
      <c r="M86" s="128">
        <f t="shared" si="6"/>
        <v>30590.228625390602</v>
      </c>
      <c r="N86" s="128">
        <f t="shared" si="6"/>
        <v>35178.762919199187</v>
      </c>
      <c r="O86" s="127" t="s">
        <v>39</v>
      </c>
      <c r="P86" s="127"/>
    </row>
    <row r="87" spans="1:17" x14ac:dyDescent="0.3">
      <c r="D87" s="1"/>
      <c r="F87" s="128"/>
      <c r="G87" s="128"/>
      <c r="H87" s="128"/>
      <c r="I87" s="128"/>
      <c r="J87" s="128"/>
      <c r="K87" s="128"/>
      <c r="L87" s="128"/>
      <c r="M87" s="128"/>
      <c r="N87" s="128"/>
      <c r="O87" s="127"/>
      <c r="P87" s="127"/>
    </row>
    <row r="88" spans="1:17" x14ac:dyDescent="0.3">
      <c r="D88" t="s">
        <v>40</v>
      </c>
      <c r="F88" s="127" t="s">
        <v>279</v>
      </c>
      <c r="G88" s="127" t="s">
        <v>279</v>
      </c>
      <c r="H88" s="127"/>
      <c r="I88" s="127"/>
      <c r="J88" s="127"/>
      <c r="K88" s="127"/>
      <c r="L88" s="127"/>
      <c r="M88" s="127"/>
      <c r="N88" s="127"/>
      <c r="O88" s="127"/>
      <c r="P88" s="127"/>
    </row>
    <row r="89" spans="1:17" x14ac:dyDescent="0.3">
      <c r="A89" t="s">
        <v>103</v>
      </c>
      <c r="B89" t="s">
        <v>146</v>
      </c>
      <c r="D89" s="142">
        <v>15</v>
      </c>
      <c r="E89" s="125">
        <f>E86/$D$89</f>
        <v>666.66666666666663</v>
      </c>
      <c r="F89" s="128">
        <f t="shared" ref="F89:N89" si="7">F86/$D$89</f>
        <v>766.66666666666663</v>
      </c>
      <c r="G89" s="128">
        <f t="shared" si="7"/>
        <v>881.66666666666652</v>
      </c>
      <c r="H89" s="128">
        <f t="shared" si="7"/>
        <v>1013.9166666666664</v>
      </c>
      <c r="I89" s="128">
        <f t="shared" si="7"/>
        <v>1166.0041666666662</v>
      </c>
      <c r="J89" s="128">
        <f t="shared" si="7"/>
        <v>1340.9047916666661</v>
      </c>
      <c r="K89" s="128">
        <f t="shared" si="7"/>
        <v>1542.0405104166659</v>
      </c>
      <c r="L89" s="128">
        <f t="shared" si="7"/>
        <v>1773.3465869791655</v>
      </c>
      <c r="M89" s="128">
        <f t="shared" si="7"/>
        <v>2039.3485750260402</v>
      </c>
      <c r="N89" s="128">
        <f t="shared" si="7"/>
        <v>2345.2508612799456</v>
      </c>
      <c r="O89" s="127" t="s">
        <v>341</v>
      </c>
      <c r="P89" s="127"/>
      <c r="Q89" t="s">
        <v>455</v>
      </c>
    </row>
    <row r="90" spans="1:17" x14ac:dyDescent="0.3">
      <c r="D90" s="148"/>
    </row>
    <row r="91" spans="1:17" x14ac:dyDescent="0.3">
      <c r="A91" t="s">
        <v>104</v>
      </c>
      <c r="B91" t="s">
        <v>147</v>
      </c>
      <c r="D91" s="142">
        <v>5</v>
      </c>
    </row>
    <row r="92" spans="1:17" x14ac:dyDescent="0.3">
      <c r="D92" s="148"/>
    </row>
    <row r="93" spans="1:17" x14ac:dyDescent="0.3">
      <c r="A93" t="s">
        <v>105</v>
      </c>
      <c r="B93" t="s">
        <v>242</v>
      </c>
      <c r="D93" s="142">
        <v>5</v>
      </c>
    </row>
    <row r="94" spans="1:17" x14ac:dyDescent="0.3">
      <c r="D94" s="148"/>
    </row>
    <row r="95" spans="1:17" x14ac:dyDescent="0.3">
      <c r="A95" t="s">
        <v>243</v>
      </c>
      <c r="B95" t="s">
        <v>247</v>
      </c>
      <c r="D95" s="142">
        <v>5</v>
      </c>
    </row>
    <row r="97" spans="1:15" x14ac:dyDescent="0.3">
      <c r="A97" t="s">
        <v>301</v>
      </c>
      <c r="B97" t="s">
        <v>89</v>
      </c>
      <c r="D97" t="s">
        <v>336</v>
      </c>
      <c r="E97" s="124">
        <v>1</v>
      </c>
    </row>
    <row r="99" spans="1:15" x14ac:dyDescent="0.3">
      <c r="D99" t="s">
        <v>82</v>
      </c>
      <c r="E99" t="s">
        <v>260</v>
      </c>
      <c r="F99" t="s">
        <v>251</v>
      </c>
      <c r="G99" t="s">
        <v>83</v>
      </c>
    </row>
    <row r="100" spans="1:15" x14ac:dyDescent="0.3">
      <c r="A100" t="s">
        <v>244</v>
      </c>
      <c r="B100" t="s">
        <v>169</v>
      </c>
      <c r="C100" t="s">
        <v>143</v>
      </c>
      <c r="D100" s="142">
        <v>2</v>
      </c>
      <c r="E100" s="142">
        <v>100</v>
      </c>
      <c r="F100" s="138">
        <v>5000</v>
      </c>
      <c r="G100" s="137">
        <v>0.1</v>
      </c>
    </row>
    <row r="101" spans="1:15" x14ac:dyDescent="0.3">
      <c r="C101" t="s">
        <v>297</v>
      </c>
      <c r="D101" s="142">
        <v>2</v>
      </c>
      <c r="E101" s="142">
        <v>100</v>
      </c>
      <c r="F101" s="138">
        <v>5000</v>
      </c>
      <c r="G101" s="137">
        <v>0.1</v>
      </c>
    </row>
    <row r="102" spans="1:15" x14ac:dyDescent="0.3">
      <c r="C102" s="127" t="s">
        <v>19</v>
      </c>
      <c r="D102" s="127"/>
      <c r="E102" s="127">
        <v>1</v>
      </c>
      <c r="F102" s="142">
        <v>100</v>
      </c>
      <c r="G102" s="1"/>
    </row>
    <row r="103" spans="1:15" x14ac:dyDescent="0.3">
      <c r="C103" s="127" t="s">
        <v>20</v>
      </c>
      <c r="D103" s="127"/>
      <c r="E103" s="127">
        <v>2</v>
      </c>
      <c r="F103" s="142">
        <v>200</v>
      </c>
      <c r="G103" s="1"/>
    </row>
    <row r="104" spans="1:15" x14ac:dyDescent="0.3">
      <c r="C104" s="127" t="s">
        <v>21</v>
      </c>
      <c r="D104" s="127"/>
      <c r="E104" s="127">
        <v>5</v>
      </c>
      <c r="F104" s="142">
        <v>300</v>
      </c>
      <c r="G104" s="1"/>
    </row>
    <row r="105" spans="1:15" x14ac:dyDescent="0.3">
      <c r="C105" t="s">
        <v>124</v>
      </c>
      <c r="E105" s="127">
        <v>20</v>
      </c>
      <c r="F105" s="142">
        <v>400</v>
      </c>
    </row>
    <row r="106" spans="1:15" x14ac:dyDescent="0.3">
      <c r="F106" s="2"/>
    </row>
    <row r="107" spans="1:15" x14ac:dyDescent="0.3">
      <c r="A107" t="s">
        <v>327</v>
      </c>
      <c r="B107" t="s">
        <v>298</v>
      </c>
      <c r="C107" t="s">
        <v>299</v>
      </c>
      <c r="F107" s="2"/>
    </row>
    <row r="108" spans="1:15" x14ac:dyDescent="0.3">
      <c r="F108" s="2"/>
    </row>
    <row r="109" spans="1:15" x14ac:dyDescent="0.3">
      <c r="D109" s="62" t="s">
        <v>393</v>
      </c>
      <c r="E109" s="62" t="s">
        <v>394</v>
      </c>
      <c r="F109" s="62">
        <v>2019</v>
      </c>
      <c r="G109" s="62">
        <v>2020</v>
      </c>
      <c r="H109" s="62">
        <v>2021</v>
      </c>
      <c r="I109" s="62">
        <v>2022</v>
      </c>
      <c r="J109" s="62">
        <v>2023</v>
      </c>
      <c r="K109" s="62">
        <v>2024</v>
      </c>
      <c r="L109" s="62">
        <v>2025</v>
      </c>
      <c r="M109" s="62">
        <v>2026</v>
      </c>
      <c r="N109" s="62">
        <v>2027</v>
      </c>
      <c r="O109" s="62">
        <v>2028</v>
      </c>
    </row>
    <row r="110" spans="1:15" x14ac:dyDescent="0.3">
      <c r="A110" t="s">
        <v>133</v>
      </c>
      <c r="B110" t="s">
        <v>137</v>
      </c>
      <c r="C110" t="s">
        <v>329</v>
      </c>
      <c r="D110" s="124"/>
      <c r="E110" s="124"/>
      <c r="F110" s="142">
        <v>0.25</v>
      </c>
      <c r="G110" s="142">
        <v>1</v>
      </c>
      <c r="H110" s="142">
        <v>1</v>
      </c>
      <c r="I110" s="142">
        <v>1.25</v>
      </c>
      <c r="J110" s="142">
        <v>1.25</v>
      </c>
      <c r="K110" s="142">
        <v>1.5</v>
      </c>
      <c r="L110" s="142">
        <v>1.5</v>
      </c>
      <c r="M110" s="142">
        <v>1.5</v>
      </c>
      <c r="N110" s="142">
        <v>1.75</v>
      </c>
      <c r="O110" s="142">
        <v>1.75</v>
      </c>
    </row>
    <row r="112" spans="1:15" x14ac:dyDescent="0.3">
      <c r="A112" t="s">
        <v>328</v>
      </c>
      <c r="B112" t="s">
        <v>97</v>
      </c>
      <c r="D112" s="124"/>
      <c r="E112" s="124"/>
      <c r="F112" s="142">
        <v>0.25</v>
      </c>
      <c r="G112" s="142">
        <v>1</v>
      </c>
      <c r="H112" s="142">
        <v>1</v>
      </c>
      <c r="I112" s="142">
        <v>1.5</v>
      </c>
      <c r="J112" s="142">
        <v>1.5</v>
      </c>
      <c r="K112" s="142">
        <v>1.5</v>
      </c>
      <c r="L112" s="142">
        <v>2</v>
      </c>
      <c r="M112" s="142">
        <v>2</v>
      </c>
      <c r="N112" s="142">
        <v>2</v>
      </c>
      <c r="O112" s="142">
        <v>2.5</v>
      </c>
    </row>
    <row r="113" spans="1:15" x14ac:dyDescent="0.3"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</row>
    <row r="114" spans="1:15" x14ac:dyDescent="0.3">
      <c r="A114" t="s">
        <v>245</v>
      </c>
      <c r="B114" t="s">
        <v>215</v>
      </c>
    </row>
    <row r="115" spans="1:15" x14ac:dyDescent="0.3">
      <c r="C115" t="s">
        <v>303</v>
      </c>
      <c r="D115" s="124"/>
      <c r="E115" s="124"/>
      <c r="F115" s="142">
        <v>0.25</v>
      </c>
      <c r="G115" s="142">
        <v>1</v>
      </c>
      <c r="H115" s="142">
        <v>1</v>
      </c>
      <c r="I115" s="142">
        <v>1</v>
      </c>
      <c r="J115" s="142">
        <v>1</v>
      </c>
      <c r="K115" s="142">
        <v>1</v>
      </c>
      <c r="L115" s="142">
        <v>1</v>
      </c>
      <c r="M115" s="142">
        <v>1.25</v>
      </c>
      <c r="N115" s="142">
        <v>1.25</v>
      </c>
      <c r="O115" s="142">
        <v>1.25</v>
      </c>
    </row>
    <row r="116" spans="1:15" x14ac:dyDescent="0.3">
      <c r="C116" t="s">
        <v>118</v>
      </c>
      <c r="D116" s="124"/>
      <c r="E116" s="124"/>
      <c r="F116" s="142">
        <v>0.25</v>
      </c>
      <c r="G116" s="142">
        <v>1</v>
      </c>
      <c r="H116" s="142">
        <v>1</v>
      </c>
      <c r="I116" s="142">
        <v>1</v>
      </c>
      <c r="J116" s="142">
        <v>1</v>
      </c>
      <c r="K116" s="142">
        <v>1</v>
      </c>
      <c r="L116" s="142">
        <v>1</v>
      </c>
      <c r="M116" s="142">
        <v>1.25</v>
      </c>
      <c r="N116" s="142">
        <v>1.25</v>
      </c>
      <c r="O116" s="142">
        <v>1.25</v>
      </c>
    </row>
    <row r="117" spans="1:15" x14ac:dyDescent="0.3">
      <c r="C117" t="s">
        <v>304</v>
      </c>
      <c r="D117" s="124"/>
      <c r="E117" s="124"/>
      <c r="F117" s="142">
        <v>0</v>
      </c>
      <c r="G117" s="142">
        <v>1</v>
      </c>
      <c r="H117" s="142">
        <v>1</v>
      </c>
      <c r="I117" s="142">
        <v>1</v>
      </c>
      <c r="J117" s="142">
        <v>1.25</v>
      </c>
      <c r="K117" s="142">
        <v>1.25</v>
      </c>
      <c r="L117" s="142">
        <v>1.25</v>
      </c>
      <c r="M117" s="142">
        <v>1.5</v>
      </c>
      <c r="N117" s="142">
        <v>1.5</v>
      </c>
      <c r="O117" s="142">
        <v>1.5</v>
      </c>
    </row>
    <row r="118" spans="1:15" x14ac:dyDescent="0.3">
      <c r="C118" s="129" t="s">
        <v>330</v>
      </c>
      <c r="F118" s="129">
        <f>(D115*E115*F115)+(D116*E116*F116)+(D117*E117*F117)</f>
        <v>0</v>
      </c>
      <c r="G118" s="129">
        <f t="shared" ref="G118:O118" si="8">($D$115*$E$115*G115)+($D$116*$E$116*$G$116)+($D$117*$E$117*G117)</f>
        <v>0</v>
      </c>
      <c r="H118" s="129">
        <f t="shared" si="8"/>
        <v>0</v>
      </c>
      <c r="I118" s="129">
        <f t="shared" si="8"/>
        <v>0</v>
      </c>
      <c r="J118" s="129">
        <f t="shared" si="8"/>
        <v>0</v>
      </c>
      <c r="K118" s="129">
        <f t="shared" si="8"/>
        <v>0</v>
      </c>
      <c r="L118" s="129">
        <f t="shared" si="8"/>
        <v>0</v>
      </c>
      <c r="M118" s="129">
        <f t="shared" si="8"/>
        <v>0</v>
      </c>
      <c r="N118" s="129">
        <f t="shared" si="8"/>
        <v>0</v>
      </c>
      <c r="O118" s="129">
        <f t="shared" si="8"/>
        <v>0</v>
      </c>
    </row>
    <row r="120" spans="1:15" x14ac:dyDescent="0.3">
      <c r="A120" t="s">
        <v>246</v>
      </c>
      <c r="B120" t="s">
        <v>123</v>
      </c>
      <c r="C120" t="s">
        <v>335</v>
      </c>
      <c r="D120" s="124"/>
      <c r="E120" s="124"/>
      <c r="F120" s="142">
        <v>1</v>
      </c>
      <c r="G120" s="142">
        <v>1</v>
      </c>
      <c r="H120" s="142">
        <v>1</v>
      </c>
      <c r="I120" s="142">
        <v>1</v>
      </c>
      <c r="J120" s="142">
        <v>1</v>
      </c>
      <c r="K120" s="142">
        <v>1</v>
      </c>
      <c r="L120" s="142">
        <v>1</v>
      </c>
      <c r="M120" s="142">
        <v>1</v>
      </c>
      <c r="N120" s="142">
        <v>1</v>
      </c>
      <c r="O120" s="142">
        <v>1</v>
      </c>
    </row>
    <row r="121" spans="1:15" x14ac:dyDescent="0.3">
      <c r="C121" t="s">
        <v>90</v>
      </c>
      <c r="D121" s="124"/>
      <c r="E121" s="124"/>
      <c r="F121" s="142">
        <v>0.25</v>
      </c>
      <c r="G121" s="142">
        <v>1</v>
      </c>
      <c r="H121" s="142">
        <v>1</v>
      </c>
      <c r="I121" s="142">
        <v>1</v>
      </c>
      <c r="J121" s="142">
        <v>1.25</v>
      </c>
      <c r="K121" s="142">
        <v>1.25</v>
      </c>
      <c r="L121" s="142">
        <v>1.25</v>
      </c>
      <c r="M121" s="142">
        <v>1.5</v>
      </c>
      <c r="N121" s="142">
        <v>1.5</v>
      </c>
      <c r="O121" s="142">
        <v>1.5</v>
      </c>
    </row>
    <row r="122" spans="1:15" s="129" customFormat="1" x14ac:dyDescent="0.3">
      <c r="C122" s="129" t="s">
        <v>331</v>
      </c>
      <c r="F122" s="129">
        <f>($D$120*$E$120*F120)+($D$121*$E$121*F121)</f>
        <v>0</v>
      </c>
      <c r="G122" s="129">
        <f>($D$120*$E$120*G120)+($D$121*$E$121*G121)</f>
        <v>0</v>
      </c>
      <c r="H122" s="129">
        <f t="shared" ref="H122:O122" si="9">($D$120*$E$120*H120)+($D$121*$E$121*H121)</f>
        <v>0</v>
      </c>
      <c r="I122" s="129">
        <f t="shared" si="9"/>
        <v>0</v>
      </c>
      <c r="J122" s="129">
        <f t="shared" si="9"/>
        <v>0</v>
      </c>
      <c r="K122" s="129">
        <f t="shared" si="9"/>
        <v>0</v>
      </c>
      <c r="L122" s="129">
        <f t="shared" si="9"/>
        <v>0</v>
      </c>
      <c r="M122" s="129">
        <f t="shared" si="9"/>
        <v>0</v>
      </c>
      <c r="N122" s="129">
        <f t="shared" si="9"/>
        <v>0</v>
      </c>
      <c r="O122" s="129">
        <f t="shared" si="9"/>
        <v>0</v>
      </c>
    </row>
    <row r="124" spans="1:15" x14ac:dyDescent="0.3">
      <c r="A124" t="s">
        <v>451</v>
      </c>
      <c r="B124" t="s">
        <v>452</v>
      </c>
      <c r="C124" s="126">
        <v>0.1</v>
      </c>
      <c r="E124" t="s">
        <v>413</v>
      </c>
    </row>
    <row r="126" spans="1:15" x14ac:dyDescent="0.3">
      <c r="A126" s="62">
        <v>6</v>
      </c>
      <c r="B126" s="62" t="s">
        <v>359</v>
      </c>
    </row>
    <row r="127" spans="1:15" x14ac:dyDescent="0.3">
      <c r="C127" s="62" t="s">
        <v>399</v>
      </c>
      <c r="D127" s="62" t="s">
        <v>400</v>
      </c>
      <c r="E127" s="62" t="s">
        <v>401</v>
      </c>
      <c r="F127" s="62">
        <v>2020</v>
      </c>
      <c r="G127" s="62">
        <v>2021</v>
      </c>
      <c r="H127" s="62">
        <v>2022</v>
      </c>
      <c r="I127" s="62">
        <v>2023</v>
      </c>
      <c r="J127" s="62">
        <v>2024</v>
      </c>
      <c r="K127" s="62">
        <v>2025</v>
      </c>
      <c r="L127" s="62">
        <v>2026</v>
      </c>
      <c r="M127" s="62">
        <v>2027</v>
      </c>
      <c r="N127" s="62">
        <v>2028</v>
      </c>
      <c r="O127" s="62">
        <v>2029</v>
      </c>
    </row>
    <row r="128" spans="1:15" x14ac:dyDescent="0.3">
      <c r="A128" t="s">
        <v>217</v>
      </c>
      <c r="B128" t="s">
        <v>295</v>
      </c>
      <c r="C128">
        <v>1</v>
      </c>
      <c r="D128" s="142">
        <v>1500</v>
      </c>
      <c r="F128" s="137">
        <v>0.3</v>
      </c>
      <c r="G128" s="137">
        <v>0.3</v>
      </c>
      <c r="H128" s="137">
        <v>0.25</v>
      </c>
      <c r="I128" s="137">
        <v>0.25</v>
      </c>
      <c r="J128" s="137">
        <v>0.25</v>
      </c>
      <c r="K128" s="137">
        <v>0.2</v>
      </c>
      <c r="L128" s="137">
        <v>0.2</v>
      </c>
      <c r="M128" s="137">
        <v>0.15</v>
      </c>
      <c r="N128" s="137">
        <v>0.15</v>
      </c>
      <c r="O128" s="137">
        <v>0.05</v>
      </c>
    </row>
    <row r="129" spans="1:15" x14ac:dyDescent="0.3">
      <c r="C129">
        <v>5</v>
      </c>
      <c r="D129" s="142">
        <v>6000</v>
      </c>
      <c r="F129" s="137">
        <v>0.3</v>
      </c>
      <c r="G129" s="137">
        <v>0.3</v>
      </c>
      <c r="H129" s="137">
        <v>0.3</v>
      </c>
      <c r="I129" s="137">
        <v>0.25</v>
      </c>
      <c r="J129" s="137">
        <v>0.25</v>
      </c>
      <c r="K129" s="137">
        <v>0.25</v>
      </c>
      <c r="L129" s="137">
        <v>0.25</v>
      </c>
      <c r="M129" s="137">
        <v>0.25</v>
      </c>
      <c r="N129" s="137">
        <v>0.25</v>
      </c>
      <c r="O129" s="137">
        <v>0.25</v>
      </c>
    </row>
    <row r="130" spans="1:15" x14ac:dyDescent="0.3">
      <c r="C130">
        <v>50</v>
      </c>
      <c r="D130" s="142">
        <v>50000</v>
      </c>
      <c r="F130" s="137">
        <v>0.3</v>
      </c>
      <c r="G130" s="137">
        <v>0.3</v>
      </c>
      <c r="H130" s="137">
        <v>0.3</v>
      </c>
      <c r="I130" s="137">
        <v>0.35</v>
      </c>
      <c r="J130" s="137">
        <v>0.35</v>
      </c>
      <c r="K130" s="137">
        <v>0.35</v>
      </c>
      <c r="L130" s="137">
        <v>0.35</v>
      </c>
      <c r="M130" s="137">
        <v>0.4</v>
      </c>
      <c r="N130" s="137">
        <v>0.4</v>
      </c>
      <c r="O130" s="137">
        <v>0.5</v>
      </c>
    </row>
    <row r="131" spans="1:15" x14ac:dyDescent="0.3">
      <c r="C131">
        <v>100</v>
      </c>
      <c r="D131" s="142">
        <v>100000</v>
      </c>
      <c r="F131" s="137">
        <v>0.1</v>
      </c>
      <c r="G131" s="137">
        <v>0.1</v>
      </c>
      <c r="H131" s="137">
        <v>0.15</v>
      </c>
      <c r="I131" s="137">
        <v>0.15</v>
      </c>
      <c r="J131" s="137">
        <v>0.15</v>
      </c>
      <c r="K131" s="137">
        <v>0.2</v>
      </c>
      <c r="L131" s="137">
        <v>0.2</v>
      </c>
      <c r="M131" s="137">
        <v>0.2</v>
      </c>
      <c r="N131" s="137">
        <v>0.2</v>
      </c>
      <c r="O131" s="137">
        <v>0.25</v>
      </c>
    </row>
    <row r="132" spans="1:15" x14ac:dyDescent="0.3">
      <c r="D132" s="148"/>
    </row>
    <row r="133" spans="1:15" x14ac:dyDescent="0.3">
      <c r="A133" t="s">
        <v>418</v>
      </c>
      <c r="B133" t="s">
        <v>419</v>
      </c>
      <c r="C133">
        <v>1</v>
      </c>
      <c r="D133" s="142">
        <v>2000</v>
      </c>
      <c r="F133" s="137">
        <v>0.2</v>
      </c>
      <c r="G133" s="137">
        <v>0.2</v>
      </c>
      <c r="H133" s="137">
        <v>0.15</v>
      </c>
      <c r="I133" s="137">
        <v>0.15</v>
      </c>
      <c r="J133" s="137">
        <v>0.15</v>
      </c>
      <c r="K133" s="137">
        <v>0.15</v>
      </c>
      <c r="L133" s="137">
        <v>0.15</v>
      </c>
      <c r="M133" s="137">
        <v>0.15</v>
      </c>
      <c r="N133" s="137">
        <v>0.15</v>
      </c>
      <c r="O133" s="137">
        <v>0.15</v>
      </c>
    </row>
    <row r="134" spans="1:15" x14ac:dyDescent="0.3">
      <c r="C134">
        <v>2</v>
      </c>
      <c r="D134" s="142">
        <v>4000</v>
      </c>
      <c r="F134" s="137">
        <v>0.2</v>
      </c>
      <c r="G134" s="137">
        <v>0.2</v>
      </c>
      <c r="H134" s="137">
        <v>0.2</v>
      </c>
      <c r="I134" s="137">
        <v>0.2</v>
      </c>
      <c r="J134" s="137">
        <v>0.15</v>
      </c>
      <c r="K134" s="137">
        <v>0.15</v>
      </c>
      <c r="L134" s="137">
        <v>0.1</v>
      </c>
      <c r="M134" s="137">
        <v>0.1</v>
      </c>
      <c r="N134" s="137">
        <v>0.1</v>
      </c>
      <c r="O134" s="137">
        <v>0.1</v>
      </c>
    </row>
    <row r="135" spans="1:15" x14ac:dyDescent="0.3">
      <c r="C135">
        <v>5</v>
      </c>
      <c r="D135" s="142">
        <v>10000</v>
      </c>
      <c r="F135" s="137">
        <v>0.3</v>
      </c>
      <c r="G135" s="137">
        <v>0.3</v>
      </c>
      <c r="H135" s="137">
        <v>0.3</v>
      </c>
      <c r="I135" s="137">
        <v>0.3</v>
      </c>
      <c r="J135" s="137">
        <v>0.25</v>
      </c>
      <c r="K135" s="137">
        <v>0.25</v>
      </c>
      <c r="L135" s="137">
        <v>0.2</v>
      </c>
      <c r="M135" s="137">
        <v>0.2</v>
      </c>
      <c r="N135" s="137">
        <v>0.2</v>
      </c>
      <c r="O135" s="137">
        <v>0.2</v>
      </c>
    </row>
    <row r="136" spans="1:15" x14ac:dyDescent="0.3">
      <c r="A136" t="s">
        <v>67</v>
      </c>
      <c r="B136" t="s">
        <v>67</v>
      </c>
      <c r="C136">
        <v>20</v>
      </c>
      <c r="D136" s="142">
        <v>40000</v>
      </c>
      <c r="F136" s="137">
        <v>0.3</v>
      </c>
      <c r="G136" s="137">
        <v>0.3</v>
      </c>
      <c r="H136" s="137">
        <v>0.3</v>
      </c>
      <c r="I136" s="137">
        <v>0.3</v>
      </c>
      <c r="J136" s="137">
        <v>0.35</v>
      </c>
      <c r="K136" s="137">
        <v>0.35</v>
      </c>
      <c r="L136" s="137">
        <v>0.4</v>
      </c>
      <c r="M136" s="137">
        <v>0.35</v>
      </c>
      <c r="N136" s="137">
        <v>0.35</v>
      </c>
      <c r="O136" s="137">
        <v>0.35</v>
      </c>
    </row>
    <row r="137" spans="1:15" x14ac:dyDescent="0.3">
      <c r="C137">
        <v>100</v>
      </c>
      <c r="D137" s="142">
        <v>130000</v>
      </c>
      <c r="F137" s="137">
        <v>0</v>
      </c>
      <c r="G137" s="137">
        <v>0</v>
      </c>
      <c r="H137" s="137">
        <v>0.05</v>
      </c>
      <c r="I137" s="137">
        <v>0.05</v>
      </c>
      <c r="J137" s="137">
        <v>0.05</v>
      </c>
      <c r="K137" s="137">
        <v>0.05</v>
      </c>
      <c r="L137" s="137">
        <v>0.1</v>
      </c>
      <c r="M137" s="137">
        <v>0.1</v>
      </c>
      <c r="N137" s="137">
        <v>0.1</v>
      </c>
      <c r="O137" s="137">
        <v>0.1</v>
      </c>
    </row>
    <row r="138" spans="1:15" x14ac:dyDescent="0.3">
      <c r="C138">
        <v>200</v>
      </c>
      <c r="D138" s="142">
        <v>200000</v>
      </c>
      <c r="F138" s="137">
        <v>0</v>
      </c>
      <c r="G138" s="137">
        <v>0</v>
      </c>
      <c r="H138" s="137">
        <v>0.05</v>
      </c>
      <c r="I138" s="137">
        <v>0.05</v>
      </c>
      <c r="J138" s="137">
        <v>0.05</v>
      </c>
      <c r="K138" s="137">
        <v>0.05</v>
      </c>
      <c r="L138" s="137">
        <v>0.05</v>
      </c>
      <c r="M138" s="137">
        <v>0.1</v>
      </c>
      <c r="N138" s="137">
        <v>0.1</v>
      </c>
      <c r="O138" s="137">
        <v>0.1</v>
      </c>
    </row>
    <row r="139" spans="1:15" x14ac:dyDescent="0.3">
      <c r="C139" t="s">
        <v>279</v>
      </c>
      <c r="D139" s="148"/>
    </row>
    <row r="140" spans="1:15" x14ac:dyDescent="0.3">
      <c r="D140" s="148"/>
    </row>
    <row r="141" spans="1:15" x14ac:dyDescent="0.3">
      <c r="A141" t="s">
        <v>211</v>
      </c>
      <c r="B141" t="s">
        <v>296</v>
      </c>
      <c r="C141">
        <v>35</v>
      </c>
      <c r="D141" s="142">
        <v>1000</v>
      </c>
      <c r="F141" s="137">
        <v>1</v>
      </c>
      <c r="G141" s="137">
        <v>1</v>
      </c>
      <c r="H141" s="137">
        <v>1</v>
      </c>
      <c r="I141" s="137">
        <v>1</v>
      </c>
      <c r="J141" s="137">
        <v>1</v>
      </c>
      <c r="K141" s="137">
        <v>1</v>
      </c>
      <c r="L141" s="137">
        <v>1</v>
      </c>
      <c r="M141" s="137">
        <v>1</v>
      </c>
      <c r="N141" s="137">
        <v>1</v>
      </c>
      <c r="O141" s="137">
        <v>1</v>
      </c>
    </row>
    <row r="142" spans="1:15" x14ac:dyDescent="0.3">
      <c r="D142" s="148"/>
    </row>
    <row r="143" spans="1:15" x14ac:dyDescent="0.3">
      <c r="B143" t="s">
        <v>343</v>
      </c>
      <c r="C143">
        <v>50</v>
      </c>
      <c r="D143" s="142">
        <v>1000</v>
      </c>
    </row>
    <row r="145" spans="1:16" x14ac:dyDescent="0.3">
      <c r="A145" s="62">
        <v>7</v>
      </c>
      <c r="B145" s="62" t="s">
        <v>402</v>
      </c>
      <c r="C145" s="62"/>
      <c r="D145" s="62" t="s">
        <v>86</v>
      </c>
      <c r="E145" s="62" t="s">
        <v>87</v>
      </c>
      <c r="F145" s="62" t="s">
        <v>2</v>
      </c>
      <c r="H145" s="63" t="s">
        <v>455</v>
      </c>
      <c r="J145" t="s">
        <v>1</v>
      </c>
    </row>
    <row r="146" spans="1:16" x14ac:dyDescent="0.3">
      <c r="B146" t="s">
        <v>130</v>
      </c>
      <c r="C146" t="s">
        <v>0</v>
      </c>
      <c r="D146" s="142">
        <v>300</v>
      </c>
      <c r="E146" s="142">
        <v>70</v>
      </c>
      <c r="F146" s="142">
        <v>1</v>
      </c>
      <c r="G146" s="142">
        <v>1</v>
      </c>
      <c r="H146" s="142">
        <v>1</v>
      </c>
      <c r="I146" s="142">
        <v>2</v>
      </c>
      <c r="J146" s="142">
        <v>2</v>
      </c>
      <c r="K146" s="142">
        <v>2</v>
      </c>
      <c r="L146" s="142">
        <v>3</v>
      </c>
      <c r="M146" s="142">
        <v>3</v>
      </c>
      <c r="N146" s="142">
        <v>3</v>
      </c>
      <c r="O146" s="142">
        <v>3</v>
      </c>
      <c r="P146" s="148"/>
    </row>
    <row r="148" spans="1:16" x14ac:dyDescent="0.3">
      <c r="F148" t="s">
        <v>67</v>
      </c>
      <c r="G148" s="62">
        <v>2019</v>
      </c>
      <c r="H148" s="62">
        <v>2020</v>
      </c>
      <c r="I148" s="62">
        <v>2021</v>
      </c>
      <c r="J148" s="62">
        <v>2022</v>
      </c>
      <c r="K148" s="62">
        <v>2023</v>
      </c>
      <c r="L148" s="62">
        <v>2024</v>
      </c>
      <c r="M148" s="62">
        <v>2025</v>
      </c>
      <c r="N148" s="62">
        <v>2026</v>
      </c>
      <c r="O148" s="62">
        <v>2027</v>
      </c>
      <c r="P148" s="62">
        <v>2028</v>
      </c>
    </row>
    <row r="149" spans="1:16" x14ac:dyDescent="0.3">
      <c r="B149" t="s">
        <v>150</v>
      </c>
      <c r="D149" t="s">
        <v>270</v>
      </c>
      <c r="E149" s="142">
        <v>5000</v>
      </c>
      <c r="F149" t="s">
        <v>271</v>
      </c>
      <c r="G149" s="151">
        <f>F86/$E$149</f>
        <v>2.2999999999999998</v>
      </c>
      <c r="H149" s="151">
        <f t="shared" ref="H149:O149" si="10">G86/$E$149</f>
        <v>2.6449999999999996</v>
      </c>
      <c r="I149" s="151">
        <f t="shared" si="10"/>
        <v>3.0417499999999991</v>
      </c>
      <c r="J149" s="151">
        <f t="shared" si="10"/>
        <v>3.4980124999999984</v>
      </c>
      <c r="K149" s="151">
        <f t="shared" si="10"/>
        <v>4.0227143749999978</v>
      </c>
      <c r="L149" s="151">
        <f t="shared" si="10"/>
        <v>4.6261215312499973</v>
      </c>
      <c r="M149" s="151">
        <f t="shared" si="10"/>
        <v>5.3200397609374965</v>
      </c>
      <c r="N149" s="151">
        <f t="shared" si="10"/>
        <v>6.1180457250781206</v>
      </c>
      <c r="O149" s="151">
        <f t="shared" si="10"/>
        <v>7.0357525838398374</v>
      </c>
      <c r="P149" s="151"/>
    </row>
    <row r="150" spans="1:16" x14ac:dyDescent="0.3">
      <c r="B150" t="s">
        <v>98</v>
      </c>
      <c r="D150" t="s">
        <v>151</v>
      </c>
      <c r="E150" s="142">
        <v>8000</v>
      </c>
    </row>
    <row r="151" spans="1:16" x14ac:dyDescent="0.3">
      <c r="F151" t="s">
        <v>67</v>
      </c>
    </row>
    <row r="152" spans="1:16" x14ac:dyDescent="0.3">
      <c r="D152" t="s">
        <v>447</v>
      </c>
      <c r="F152" t="s">
        <v>446</v>
      </c>
    </row>
    <row r="153" spans="1:16" x14ac:dyDescent="0.3">
      <c r="B153" t="s">
        <v>340</v>
      </c>
      <c r="D153" s="142">
        <v>10</v>
      </c>
      <c r="F153" s="142">
        <v>1000</v>
      </c>
      <c r="G153" s="142">
        <v>1</v>
      </c>
      <c r="H153" s="142">
        <v>1</v>
      </c>
      <c r="I153" s="142">
        <v>1.2</v>
      </c>
      <c r="J153" s="142">
        <v>1.2</v>
      </c>
      <c r="K153" s="142">
        <v>1.5</v>
      </c>
      <c r="L153" s="142">
        <v>1.5</v>
      </c>
      <c r="M153" s="142">
        <v>1.75</v>
      </c>
      <c r="N153" s="142">
        <v>1.75</v>
      </c>
      <c r="O153" s="142">
        <v>2</v>
      </c>
      <c r="P153" s="142">
        <v>2</v>
      </c>
    </row>
    <row r="155" spans="1:16" x14ac:dyDescent="0.3">
      <c r="A155" s="62">
        <v>8</v>
      </c>
      <c r="B155" s="62" t="s">
        <v>403</v>
      </c>
      <c r="C155" t="s">
        <v>456</v>
      </c>
      <c r="D155" s="142">
        <v>300000</v>
      </c>
      <c r="E155" t="s">
        <v>457</v>
      </c>
      <c r="H155" t="s">
        <v>5</v>
      </c>
    </row>
    <row r="156" spans="1:16" x14ac:dyDescent="0.3">
      <c r="C156" t="s">
        <v>99</v>
      </c>
      <c r="D156" s="124"/>
    </row>
    <row r="157" spans="1:16" x14ac:dyDescent="0.3">
      <c r="C157" t="s">
        <v>100</v>
      </c>
      <c r="D157" s="124"/>
    </row>
    <row r="158" spans="1:16" x14ac:dyDescent="0.3">
      <c r="C158" t="s">
        <v>101</v>
      </c>
      <c r="D158" s="142">
        <v>20000</v>
      </c>
      <c r="E158" t="s">
        <v>6</v>
      </c>
      <c r="F158" t="s">
        <v>7</v>
      </c>
      <c r="H158" s="142">
        <v>2</v>
      </c>
      <c r="I158" t="s">
        <v>8</v>
      </c>
      <c r="K158" s="142">
        <v>3000</v>
      </c>
      <c r="L158" s="129" t="s">
        <v>9</v>
      </c>
      <c r="M158" s="129">
        <f>D158*H158+K158</f>
        <v>43000</v>
      </c>
    </row>
    <row r="159" spans="1:16" x14ac:dyDescent="0.3">
      <c r="C159" t="s">
        <v>106</v>
      </c>
      <c r="D159" s="124"/>
    </row>
    <row r="160" spans="1:16" x14ac:dyDescent="0.3">
      <c r="C160" t="s">
        <v>107</v>
      </c>
      <c r="D160" s="124"/>
    </row>
    <row r="161" spans="1:16" x14ac:dyDescent="0.3">
      <c r="C161" t="s">
        <v>108</v>
      </c>
      <c r="D161" s="124"/>
    </row>
    <row r="163" spans="1:16" x14ac:dyDescent="0.3">
      <c r="A163" s="62">
        <v>9</v>
      </c>
      <c r="B163" s="62" t="s">
        <v>404</v>
      </c>
    </row>
    <row r="164" spans="1:16" x14ac:dyDescent="0.3">
      <c r="B164" t="s">
        <v>448</v>
      </c>
      <c r="C164" s="142">
        <v>12000</v>
      </c>
      <c r="D164" t="s">
        <v>455</v>
      </c>
      <c r="F164" t="s">
        <v>455</v>
      </c>
    </row>
    <row r="165" spans="1:16" x14ac:dyDescent="0.3">
      <c r="B165" t="s">
        <v>449</v>
      </c>
      <c r="C165" s="142">
        <v>7000</v>
      </c>
      <c r="D165" t="s">
        <v>454</v>
      </c>
      <c r="F165" t="s">
        <v>67</v>
      </c>
    </row>
    <row r="167" spans="1:16" x14ac:dyDescent="0.3">
      <c r="A167" s="62">
        <v>10</v>
      </c>
      <c r="B167" s="62" t="s">
        <v>405</v>
      </c>
      <c r="C167" s="62" t="s">
        <v>109</v>
      </c>
      <c r="D167" s="62" t="s">
        <v>406</v>
      </c>
      <c r="E167" s="62"/>
      <c r="F167" s="62" t="s">
        <v>407</v>
      </c>
      <c r="G167" s="62">
        <v>2019</v>
      </c>
      <c r="H167" s="62">
        <v>2020</v>
      </c>
      <c r="I167" s="62">
        <v>2021</v>
      </c>
      <c r="J167" s="62">
        <v>2022</v>
      </c>
      <c r="K167" s="62">
        <v>2023</v>
      </c>
      <c r="L167" s="62">
        <v>2024</v>
      </c>
      <c r="M167" s="62">
        <v>2025</v>
      </c>
      <c r="N167" s="62">
        <v>2026</v>
      </c>
      <c r="O167" s="62">
        <v>2027</v>
      </c>
      <c r="P167" s="62">
        <v>2028</v>
      </c>
    </row>
    <row r="169" spans="1:16" x14ac:dyDescent="0.3">
      <c r="B169" t="s">
        <v>427</v>
      </c>
      <c r="C169" t="s">
        <v>428</v>
      </c>
      <c r="D169" s="142">
        <v>50000</v>
      </c>
      <c r="G169" s="142">
        <v>1</v>
      </c>
      <c r="H169" s="142"/>
      <c r="I169" s="142"/>
      <c r="J169" s="142"/>
      <c r="K169" s="142"/>
      <c r="L169" s="142"/>
      <c r="M169" s="142">
        <v>1</v>
      </c>
      <c r="N169" s="142"/>
      <c r="O169" s="142"/>
      <c r="P169" s="142"/>
    </row>
    <row r="170" spans="1:16" x14ac:dyDescent="0.3">
      <c r="D170" s="148"/>
    </row>
    <row r="171" spans="1:16" x14ac:dyDescent="0.3">
      <c r="B171" t="s">
        <v>429</v>
      </c>
      <c r="D171" s="142">
        <v>50000</v>
      </c>
      <c r="G171" s="142"/>
      <c r="H171" s="142">
        <v>1</v>
      </c>
      <c r="I171" s="142">
        <v>1</v>
      </c>
      <c r="J171" s="142">
        <v>2</v>
      </c>
      <c r="K171" s="142">
        <v>2</v>
      </c>
      <c r="L171" s="142">
        <v>3</v>
      </c>
      <c r="M171" s="142">
        <v>3</v>
      </c>
      <c r="N171" s="142">
        <v>3</v>
      </c>
      <c r="O171" s="142">
        <v>4</v>
      </c>
      <c r="P171" s="142">
        <v>4</v>
      </c>
    </row>
    <row r="172" spans="1:16" x14ac:dyDescent="0.3">
      <c r="B172" t="s">
        <v>430</v>
      </c>
      <c r="D172" s="142">
        <v>10000</v>
      </c>
      <c r="G172" s="142">
        <v>2</v>
      </c>
      <c r="H172" s="142">
        <v>2</v>
      </c>
      <c r="I172" s="142">
        <v>3</v>
      </c>
      <c r="J172" s="142">
        <v>3</v>
      </c>
      <c r="K172" s="142">
        <v>4</v>
      </c>
      <c r="L172" s="142">
        <v>4</v>
      </c>
      <c r="M172" s="142">
        <v>4</v>
      </c>
      <c r="N172" s="142">
        <v>5</v>
      </c>
      <c r="O172" s="142">
        <v>5</v>
      </c>
      <c r="P172" s="142">
        <v>6</v>
      </c>
    </row>
    <row r="174" spans="1:16" x14ac:dyDescent="0.3">
      <c r="B174" t="s">
        <v>431</v>
      </c>
      <c r="D174" t="s">
        <v>432</v>
      </c>
      <c r="F174" t="s">
        <v>433</v>
      </c>
    </row>
    <row r="175" spans="1:16" x14ac:dyDescent="0.3">
      <c r="B175" t="s">
        <v>434</v>
      </c>
      <c r="D175" s="137">
        <v>0.01</v>
      </c>
      <c r="G175" s="142">
        <v>0.5</v>
      </c>
      <c r="H175" s="142">
        <v>1</v>
      </c>
      <c r="I175" s="142">
        <v>1</v>
      </c>
      <c r="J175" s="142">
        <v>1</v>
      </c>
      <c r="K175" s="142">
        <v>1</v>
      </c>
      <c r="L175" s="142">
        <v>1</v>
      </c>
      <c r="M175" s="142">
        <v>1</v>
      </c>
      <c r="N175" s="142">
        <v>1</v>
      </c>
      <c r="O175" s="142">
        <v>1</v>
      </c>
      <c r="P175" s="142">
        <v>1</v>
      </c>
    </row>
    <row r="176" spans="1:16" x14ac:dyDescent="0.3">
      <c r="B176" t="s">
        <v>435</v>
      </c>
      <c r="D176" s="137">
        <v>0.01</v>
      </c>
      <c r="G176" s="142">
        <v>0.5</v>
      </c>
      <c r="H176" s="142">
        <v>1</v>
      </c>
      <c r="I176" s="142">
        <v>1</v>
      </c>
      <c r="J176" s="142">
        <v>1</v>
      </c>
      <c r="K176" s="142">
        <v>1</v>
      </c>
      <c r="L176" s="142">
        <v>1</v>
      </c>
      <c r="M176" s="142">
        <v>1</v>
      </c>
      <c r="N176" s="142">
        <v>1</v>
      </c>
      <c r="O176" s="142">
        <v>1</v>
      </c>
      <c r="P176" s="142">
        <v>1</v>
      </c>
    </row>
    <row r="177" spans="2:16" x14ac:dyDescent="0.3">
      <c r="B177" t="s">
        <v>436</v>
      </c>
      <c r="D177" s="137">
        <v>0.01</v>
      </c>
      <c r="G177" s="142">
        <v>0.1</v>
      </c>
      <c r="H177" s="142">
        <v>1</v>
      </c>
      <c r="I177" s="142">
        <v>1</v>
      </c>
      <c r="J177" s="142">
        <v>1</v>
      </c>
      <c r="K177" s="142">
        <v>1</v>
      </c>
      <c r="L177" s="142">
        <v>1</v>
      </c>
      <c r="M177" s="142">
        <v>1</v>
      </c>
      <c r="N177" s="142">
        <v>1</v>
      </c>
      <c r="O177" s="142">
        <v>1</v>
      </c>
      <c r="P177" s="142">
        <v>1</v>
      </c>
    </row>
    <row r="178" spans="2:16" x14ac:dyDescent="0.3">
      <c r="B178" t="s">
        <v>437</v>
      </c>
      <c r="D178" s="137">
        <v>0.01</v>
      </c>
      <c r="G178" s="142">
        <v>0.1</v>
      </c>
      <c r="H178" s="142">
        <v>1</v>
      </c>
      <c r="I178" s="142">
        <v>1</v>
      </c>
      <c r="J178" s="142">
        <v>1</v>
      </c>
      <c r="K178" s="142">
        <v>1</v>
      </c>
      <c r="L178" s="142">
        <v>1</v>
      </c>
      <c r="M178" s="142">
        <v>1</v>
      </c>
      <c r="N178" s="142">
        <v>1</v>
      </c>
      <c r="O178" s="142">
        <v>1</v>
      </c>
      <c r="P178" s="142">
        <v>1</v>
      </c>
    </row>
    <row r="179" spans="2:16" x14ac:dyDescent="0.3">
      <c r="D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</row>
    <row r="180" spans="2:16" x14ac:dyDescent="0.3">
      <c r="B180" t="s">
        <v>438</v>
      </c>
      <c r="D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</row>
    <row r="181" spans="2:16" x14ac:dyDescent="0.3">
      <c r="B181" t="s">
        <v>439</v>
      </c>
      <c r="D181" s="137">
        <v>0.01</v>
      </c>
      <c r="G181" s="142">
        <v>0</v>
      </c>
      <c r="H181" s="142">
        <v>1</v>
      </c>
      <c r="I181" s="142">
        <v>1</v>
      </c>
      <c r="J181" s="142">
        <v>1</v>
      </c>
      <c r="K181" s="142">
        <v>1</v>
      </c>
      <c r="L181" s="142">
        <v>1</v>
      </c>
      <c r="M181" s="142">
        <v>1</v>
      </c>
      <c r="N181" s="142">
        <v>1</v>
      </c>
      <c r="O181" s="142">
        <v>1</v>
      </c>
      <c r="P181" s="142">
        <v>1</v>
      </c>
    </row>
    <row r="182" spans="2:16" x14ac:dyDescent="0.3">
      <c r="B182" t="s">
        <v>440</v>
      </c>
      <c r="D182" s="137">
        <v>0.01</v>
      </c>
      <c r="G182" s="142">
        <v>0</v>
      </c>
      <c r="H182" s="142">
        <v>1</v>
      </c>
      <c r="I182" s="142">
        <v>1</v>
      </c>
      <c r="J182" s="142">
        <v>1</v>
      </c>
      <c r="K182" s="142">
        <v>1</v>
      </c>
      <c r="L182" s="142">
        <v>1</v>
      </c>
      <c r="M182" s="142">
        <v>1</v>
      </c>
      <c r="N182" s="142">
        <v>1</v>
      </c>
      <c r="O182" s="142">
        <v>1</v>
      </c>
      <c r="P182" s="142">
        <v>1</v>
      </c>
    </row>
    <row r="183" spans="2:16" x14ac:dyDescent="0.3">
      <c r="B183" t="s">
        <v>436</v>
      </c>
      <c r="D183" s="152">
        <v>5.0000000000000001E-3</v>
      </c>
      <c r="G183" s="142">
        <v>0</v>
      </c>
      <c r="H183" s="142">
        <v>1</v>
      </c>
      <c r="I183" s="142">
        <v>1</v>
      </c>
      <c r="J183" s="142">
        <v>1</v>
      </c>
      <c r="K183" s="142">
        <v>1</v>
      </c>
      <c r="L183" s="142">
        <v>1</v>
      </c>
      <c r="M183" s="142">
        <v>1</v>
      </c>
      <c r="N183" s="142">
        <v>1</v>
      </c>
      <c r="O183" s="142">
        <v>1</v>
      </c>
      <c r="P183" s="142">
        <v>1</v>
      </c>
    </row>
    <row r="184" spans="2:16" x14ac:dyDescent="0.3">
      <c r="B184" t="s">
        <v>441</v>
      </c>
      <c r="D184" s="152">
        <v>5.0000000000000001E-3</v>
      </c>
      <c r="G184" s="142">
        <v>0</v>
      </c>
      <c r="H184" s="142">
        <v>1</v>
      </c>
      <c r="I184" s="142">
        <v>1</v>
      </c>
      <c r="J184" s="142">
        <v>1</v>
      </c>
      <c r="K184" s="142">
        <v>1</v>
      </c>
      <c r="L184" s="142">
        <v>1</v>
      </c>
      <c r="M184" s="142">
        <v>1</v>
      </c>
      <c r="N184" s="142">
        <v>1</v>
      </c>
      <c r="O184" s="142">
        <v>1</v>
      </c>
      <c r="P184" s="142">
        <v>1</v>
      </c>
    </row>
    <row r="185" spans="2:16" x14ac:dyDescent="0.3">
      <c r="D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</row>
    <row r="186" spans="2:16" x14ac:dyDescent="0.3">
      <c r="B186" t="s">
        <v>442</v>
      </c>
      <c r="D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</row>
    <row r="187" spans="2:16" x14ac:dyDescent="0.3">
      <c r="B187" t="str">
        <f>B181</f>
        <v>Baobab Powder Sales</v>
      </c>
      <c r="D187" s="137">
        <v>0.02</v>
      </c>
      <c r="G187" s="142">
        <v>0</v>
      </c>
      <c r="H187" s="142">
        <v>1</v>
      </c>
      <c r="I187" s="142">
        <v>1</v>
      </c>
      <c r="J187" s="142">
        <v>1</v>
      </c>
      <c r="K187" s="142">
        <v>1</v>
      </c>
      <c r="L187" s="142">
        <v>1</v>
      </c>
      <c r="M187" s="142">
        <v>1</v>
      </c>
      <c r="N187" s="142">
        <v>1</v>
      </c>
      <c r="O187" s="142">
        <v>1</v>
      </c>
      <c r="P187" s="142">
        <v>1</v>
      </c>
    </row>
    <row r="188" spans="2:16" x14ac:dyDescent="0.3">
      <c r="B188" t="str">
        <f>B182</f>
        <v>Baobab Oil Sales</v>
      </c>
      <c r="D188" s="137">
        <v>0.02</v>
      </c>
      <c r="G188" s="142">
        <v>0</v>
      </c>
      <c r="H188" s="142">
        <v>1</v>
      </c>
      <c r="I188" s="142">
        <v>1</v>
      </c>
      <c r="J188" s="142">
        <v>1</v>
      </c>
      <c r="K188" s="142">
        <v>1</v>
      </c>
      <c r="L188" s="142">
        <v>1</v>
      </c>
      <c r="M188" s="142">
        <v>1</v>
      </c>
      <c r="N188" s="142">
        <v>1</v>
      </c>
      <c r="O188" s="142">
        <v>1</v>
      </c>
      <c r="P188" s="142">
        <v>1</v>
      </c>
    </row>
    <row r="189" spans="2:16" x14ac:dyDescent="0.3">
      <c r="B189" t="str">
        <f>B183</f>
        <v>Baobab Seed Sales</v>
      </c>
      <c r="D189" s="137">
        <v>0.02</v>
      </c>
      <c r="G189" s="142">
        <v>0</v>
      </c>
      <c r="H189" s="142">
        <v>1</v>
      </c>
      <c r="I189" s="142">
        <v>1</v>
      </c>
      <c r="J189" s="142">
        <v>1</v>
      </c>
      <c r="K189" s="142">
        <v>1</v>
      </c>
      <c r="L189" s="142">
        <v>1</v>
      </c>
      <c r="M189" s="142">
        <v>1</v>
      </c>
      <c r="N189" s="142">
        <v>1</v>
      </c>
      <c r="O189" s="142">
        <v>1</v>
      </c>
      <c r="P189" s="142">
        <v>1</v>
      </c>
    </row>
    <row r="190" spans="2:16" x14ac:dyDescent="0.3">
      <c r="B190" t="str">
        <f>B184</f>
        <v>Baobab Seedcake Sales</v>
      </c>
      <c r="D190" s="137">
        <v>0.02</v>
      </c>
      <c r="G190" s="142">
        <v>0</v>
      </c>
      <c r="H190" s="142">
        <v>1</v>
      </c>
      <c r="I190" s="142">
        <v>1</v>
      </c>
      <c r="J190" s="142">
        <v>1</v>
      </c>
      <c r="K190" s="142">
        <v>1</v>
      </c>
      <c r="L190" s="142">
        <v>1</v>
      </c>
      <c r="M190" s="142">
        <v>1</v>
      </c>
      <c r="N190" s="142">
        <v>1</v>
      </c>
      <c r="O190" s="142">
        <v>1</v>
      </c>
      <c r="P190" s="142">
        <v>1</v>
      </c>
    </row>
    <row r="191" spans="2:16" x14ac:dyDescent="0.3"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</row>
    <row r="192" spans="2:16" x14ac:dyDescent="0.3"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</row>
    <row r="193" spans="1:16" x14ac:dyDescent="0.3">
      <c r="B193" t="s">
        <v>458</v>
      </c>
      <c r="D193" s="138">
        <v>5000</v>
      </c>
      <c r="E193" t="s">
        <v>10</v>
      </c>
      <c r="F193" s="142">
        <v>10</v>
      </c>
      <c r="G193" s="142">
        <v>1</v>
      </c>
      <c r="H193" s="142">
        <v>2</v>
      </c>
      <c r="I193" s="142">
        <v>2</v>
      </c>
      <c r="J193" s="142">
        <v>2</v>
      </c>
      <c r="K193" s="142">
        <v>3</v>
      </c>
      <c r="L193" s="142">
        <v>3</v>
      </c>
      <c r="M193" s="142">
        <v>3</v>
      </c>
      <c r="N193" s="142">
        <v>4</v>
      </c>
      <c r="O193" s="142">
        <v>4</v>
      </c>
      <c r="P193" s="142">
        <v>4</v>
      </c>
    </row>
    <row r="196" spans="1:16" x14ac:dyDescent="0.3">
      <c r="A196" s="109">
        <v>11</v>
      </c>
      <c r="B196" s="109" t="s">
        <v>22</v>
      </c>
      <c r="D196" s="153">
        <v>0.25</v>
      </c>
    </row>
  </sheetData>
  <phoneticPr fontId="12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tabSelected="1" zoomScale="55" zoomScaleNormal="55" workbookViewId="0">
      <selection activeCell="N13" sqref="N13"/>
    </sheetView>
  </sheetViews>
  <sheetFormatPr defaultColWidth="11" defaultRowHeight="13.5" x14ac:dyDescent="0.3"/>
  <cols>
    <col min="3" max="3" width="12.61328125" customWidth="1"/>
    <col min="6" max="7" width="10.23046875" bestFit="1" customWidth="1"/>
    <col min="8" max="13" width="11.3828125" bestFit="1" customWidth="1"/>
  </cols>
  <sheetData>
    <row r="1" spans="1:13" x14ac:dyDescent="0.3">
      <c r="A1" s="109" t="s">
        <v>473</v>
      </c>
    </row>
    <row r="2" spans="1:13" x14ac:dyDescent="0.3">
      <c r="A2" s="58"/>
      <c r="B2" s="59" t="s">
        <v>379</v>
      </c>
      <c r="C2" s="47"/>
      <c r="D2" s="59">
        <v>2019</v>
      </c>
      <c r="E2" s="59">
        <v>2020</v>
      </c>
      <c r="F2" s="59">
        <v>2021</v>
      </c>
      <c r="G2" s="59">
        <v>2022</v>
      </c>
      <c r="H2" s="59">
        <v>2023</v>
      </c>
      <c r="I2" s="59">
        <v>2024</v>
      </c>
      <c r="J2" s="59">
        <v>2025</v>
      </c>
      <c r="K2" s="59">
        <v>2026</v>
      </c>
      <c r="L2" s="59">
        <v>2027</v>
      </c>
      <c r="M2" s="60">
        <v>2028</v>
      </c>
    </row>
    <row r="3" spans="1:13" x14ac:dyDescent="0.3">
      <c r="A3" s="7"/>
      <c r="C3" s="9"/>
      <c r="M3" s="9"/>
    </row>
    <row r="4" spans="1:13" x14ac:dyDescent="0.3">
      <c r="A4" s="7" t="s">
        <v>284</v>
      </c>
      <c r="C4" s="9"/>
      <c r="D4" s="2">
        <v>0</v>
      </c>
      <c r="E4" s="2">
        <f>'4. Revenues'!F20</f>
        <v>2420000</v>
      </c>
      <c r="F4" s="2">
        <f>'4. Revenues'!G20</f>
        <v>2783000</v>
      </c>
      <c r="G4" s="2">
        <f>'4. Revenues'!H20</f>
        <v>3134325</v>
      </c>
      <c r="H4" s="2">
        <f>'4. Revenues'!I20</f>
        <v>3574056.2499999991</v>
      </c>
      <c r="I4" s="2">
        <f>'4. Revenues'!J20</f>
        <v>4110164.6874999986</v>
      </c>
      <c r="J4" s="2">
        <f>'4. Revenues'!K20</f>
        <v>4626121.5312499981</v>
      </c>
      <c r="K4" s="2">
        <f>'4. Revenues'!L20</f>
        <v>5320039.760937498</v>
      </c>
      <c r="L4" s="2">
        <f>'4. Revenues'!M20</f>
        <v>5985044.7310546841</v>
      </c>
      <c r="M4" s="12">
        <f>'4. Revenues'!N20</f>
        <v>6882801.4407128869</v>
      </c>
    </row>
    <row r="5" spans="1:13" x14ac:dyDescent="0.3">
      <c r="A5" s="7" t="s">
        <v>380</v>
      </c>
      <c r="C5" s="9"/>
      <c r="D5" s="2">
        <v>0</v>
      </c>
      <c r="E5" s="2">
        <f>'7. Operational costs'!D7</f>
        <v>0</v>
      </c>
      <c r="F5" s="2">
        <f>'7. Operational costs'!E7</f>
        <v>0</v>
      </c>
      <c r="G5" s="2">
        <f>'7. Operational costs'!F7</f>
        <v>0</v>
      </c>
      <c r="H5" s="2">
        <f>'7. Operational costs'!G7</f>
        <v>0</v>
      </c>
      <c r="I5" s="2">
        <f>'7. Operational costs'!H7</f>
        <v>0</v>
      </c>
      <c r="J5" s="2">
        <f>'7. Operational costs'!I7</f>
        <v>0</v>
      </c>
      <c r="K5" s="2">
        <f>'7. Operational costs'!J7</f>
        <v>0</v>
      </c>
      <c r="L5" s="2">
        <f>'7. Operational costs'!K7</f>
        <v>0</v>
      </c>
      <c r="M5" s="12">
        <f>'7. Operational costs'!L7</f>
        <v>0</v>
      </c>
    </row>
    <row r="6" spans="1:13" x14ac:dyDescent="0.3">
      <c r="A6" s="7" t="s">
        <v>381</v>
      </c>
      <c r="C6" s="9"/>
      <c r="D6" s="48">
        <v>0</v>
      </c>
      <c r="E6" s="48">
        <f>'7. Operational costs'!E36</f>
        <v>69740</v>
      </c>
      <c r="F6" s="48">
        <f>'7. Operational costs'!F36</f>
        <v>139106</v>
      </c>
      <c r="G6" s="48">
        <f>'7. Operational costs'!G36</f>
        <v>139181.9</v>
      </c>
      <c r="H6" s="48">
        <f>'7. Operational costs'!H36</f>
        <v>139269.185</v>
      </c>
      <c r="I6" s="48">
        <f>'7. Operational costs'!I36</f>
        <v>208669.56275000001</v>
      </c>
      <c r="J6" s="48">
        <f>'7. Operational costs'!J36</f>
        <v>208784.99716250002</v>
      </c>
      <c r="K6" s="48">
        <f>'7. Operational costs'!K36</f>
        <v>278217.74673687498</v>
      </c>
      <c r="L6" s="48">
        <f>'7. Operational costs'!L36</f>
        <v>347670.40874740627</v>
      </c>
      <c r="M6" s="49">
        <f>'7. Operational costs'!M36</f>
        <v>347845.97005951719</v>
      </c>
    </row>
    <row r="7" spans="1:13" x14ac:dyDescent="0.3">
      <c r="A7" s="7"/>
      <c r="C7" s="9"/>
      <c r="D7" s="2"/>
      <c r="E7" s="2"/>
      <c r="F7" s="2"/>
      <c r="G7" s="2"/>
      <c r="H7" s="2"/>
      <c r="I7" s="2"/>
      <c r="J7" s="2"/>
      <c r="K7" s="2"/>
      <c r="L7" s="2"/>
      <c r="M7" s="12"/>
    </row>
    <row r="8" spans="1:13" x14ac:dyDescent="0.3">
      <c r="A8" s="50" t="s">
        <v>382</v>
      </c>
      <c r="B8" s="22"/>
      <c r="C8" s="57"/>
      <c r="D8" s="51">
        <f>D4-D5-D6</f>
        <v>0</v>
      </c>
      <c r="E8" s="51">
        <f t="shared" ref="E8:M8" si="0">E4-E5-E6</f>
        <v>2350260</v>
      </c>
      <c r="F8" s="51">
        <f t="shared" si="0"/>
        <v>2643894</v>
      </c>
      <c r="G8" s="51">
        <f t="shared" si="0"/>
        <v>2995143.1</v>
      </c>
      <c r="H8" s="51">
        <f t="shared" si="0"/>
        <v>3434787.064999999</v>
      </c>
      <c r="I8" s="51">
        <f t="shared" si="0"/>
        <v>3901495.1247499986</v>
      </c>
      <c r="J8" s="51">
        <f t="shared" si="0"/>
        <v>4417336.5340874977</v>
      </c>
      <c r="K8" s="51">
        <f t="shared" si="0"/>
        <v>5041822.0142006231</v>
      </c>
      <c r="L8" s="51">
        <f t="shared" si="0"/>
        <v>5637374.3223072775</v>
      </c>
      <c r="M8" s="52">
        <f t="shared" si="0"/>
        <v>6534955.47065337</v>
      </c>
    </row>
    <row r="9" spans="1:13" x14ac:dyDescent="0.3">
      <c r="A9" s="7"/>
      <c r="C9" s="9"/>
      <c r="D9" s="2"/>
      <c r="E9" s="2"/>
      <c r="F9" s="2"/>
      <c r="G9" s="2"/>
      <c r="H9" s="2"/>
      <c r="I9" s="2"/>
      <c r="J9" s="2"/>
      <c r="K9" s="2"/>
      <c r="L9" s="2"/>
      <c r="M9" s="12"/>
    </row>
    <row r="10" spans="1:13" x14ac:dyDescent="0.3">
      <c r="A10" s="7" t="s">
        <v>445</v>
      </c>
      <c r="C10" s="9"/>
      <c r="D10" s="2">
        <v>0</v>
      </c>
      <c r="E10" s="2">
        <f>'4. Revenues'!F39</f>
        <v>375000</v>
      </c>
      <c r="F10" s="2">
        <f>'4. Revenues'!G39</f>
        <v>431250</v>
      </c>
      <c r="G10" s="2">
        <f>'4. Revenues'!H39</f>
        <v>499657.03125</v>
      </c>
      <c r="H10" s="2">
        <f>'4. Revenues'!I39</f>
        <v>574605.58593749988</v>
      </c>
      <c r="I10" s="2">
        <f>'4. Revenues'!J39</f>
        <v>628002.55664062477</v>
      </c>
      <c r="J10" s="2">
        <f>'4. Revenues'!K39</f>
        <v>722202.94013671856</v>
      </c>
      <c r="K10" s="2">
        <f>'4. Revenues'!L39</f>
        <v>815353.91988281219</v>
      </c>
      <c r="L10" s="2">
        <f>'4. Revenues'!M39</f>
        <v>912719.3214858392</v>
      </c>
      <c r="M10" s="12">
        <f>'4. Revenues'!N39</f>
        <v>1049627.2197087149</v>
      </c>
    </row>
    <row r="11" spans="1:13" x14ac:dyDescent="0.3">
      <c r="A11" s="7" t="s">
        <v>375</v>
      </c>
      <c r="C11" s="9"/>
      <c r="D11" s="48">
        <v>0</v>
      </c>
      <c r="E11" s="48">
        <f>'7. Operational costs'!E52</f>
        <v>469710.3125</v>
      </c>
      <c r="F11" s="48">
        <f>'7. Operational costs'!F52</f>
        <v>471691.859375</v>
      </c>
      <c r="G11" s="48">
        <f>'7. Operational costs'!G52</f>
        <v>472606.81015625002</v>
      </c>
      <c r="H11" s="48">
        <f>'7. Operational costs'!H52</f>
        <v>475022.83167968749</v>
      </c>
      <c r="I11" s="48">
        <f>'7. Operational costs'!I52</f>
        <v>475276.12865820306</v>
      </c>
      <c r="J11" s="48">
        <f>'7. Operational costs'!J52</f>
        <v>478092.54795693356</v>
      </c>
      <c r="K11" s="48">
        <f>'7. Operational costs'!K52</f>
        <v>477991.94867010263</v>
      </c>
      <c r="L11" s="48">
        <f>'7. Operational costs'!L52</f>
        <v>480667.11187027121</v>
      </c>
      <c r="M11" s="49">
        <f>'7. Operational costs'!M52</f>
        <v>484292.1786508119</v>
      </c>
    </row>
    <row r="12" spans="1:13" x14ac:dyDescent="0.3">
      <c r="A12" s="7"/>
      <c r="C12" s="9"/>
      <c r="D12" s="2"/>
      <c r="E12" s="2"/>
      <c r="F12" s="2"/>
      <c r="G12" s="2"/>
      <c r="H12" s="2"/>
      <c r="I12" s="2"/>
      <c r="J12" s="2"/>
      <c r="K12" s="2"/>
      <c r="L12" s="2"/>
      <c r="M12" s="12"/>
    </row>
    <row r="13" spans="1:13" x14ac:dyDescent="0.3">
      <c r="A13" s="50" t="s">
        <v>383</v>
      </c>
      <c r="B13" s="22"/>
      <c r="C13" s="57"/>
      <c r="D13" s="51">
        <v>0</v>
      </c>
      <c r="E13" s="51">
        <f>E10-E11</f>
        <v>-94710.3125</v>
      </c>
      <c r="F13" s="51">
        <f t="shared" ref="F13:M13" si="1">F10-F11</f>
        <v>-40441.859375</v>
      </c>
      <c r="G13" s="51">
        <f t="shared" si="1"/>
        <v>27050.221093749977</v>
      </c>
      <c r="H13" s="51">
        <f t="shared" si="1"/>
        <v>99582.754257812398</v>
      </c>
      <c r="I13" s="51">
        <f t="shared" si="1"/>
        <v>152726.42798242171</v>
      </c>
      <c r="J13" s="51">
        <f t="shared" si="1"/>
        <v>244110.39217978501</v>
      </c>
      <c r="K13" s="51">
        <f t="shared" si="1"/>
        <v>337361.97121270956</v>
      </c>
      <c r="L13" s="51">
        <f t="shared" si="1"/>
        <v>432052.20961556799</v>
      </c>
      <c r="M13" s="52">
        <f t="shared" si="1"/>
        <v>565335.04105790297</v>
      </c>
    </row>
    <row r="14" spans="1:13" x14ac:dyDescent="0.3">
      <c r="A14" s="7"/>
      <c r="C14" s="9"/>
      <c r="D14" s="2"/>
      <c r="E14" s="2"/>
      <c r="F14" s="2"/>
      <c r="G14" s="2"/>
      <c r="H14" s="2"/>
      <c r="I14" s="2"/>
      <c r="J14" s="2"/>
      <c r="K14" s="2"/>
      <c r="L14" s="2"/>
      <c r="M14" s="12"/>
    </row>
    <row r="15" spans="1:13" x14ac:dyDescent="0.3">
      <c r="A15" s="7" t="s">
        <v>376</v>
      </c>
      <c r="C15" s="9"/>
      <c r="D15" s="2">
        <v>0</v>
      </c>
      <c r="E15" s="2">
        <f>'4. Revenues'!F45</f>
        <v>71250</v>
      </c>
      <c r="F15" s="2">
        <f>'4. Revenues'!G45</f>
        <v>81937.5</v>
      </c>
      <c r="G15" s="2">
        <f>'4. Revenues'!H45</f>
        <v>94228.124999999985</v>
      </c>
      <c r="H15" s="2">
        <f>'4. Revenues'!I45</f>
        <v>108362.34374999997</v>
      </c>
      <c r="I15" s="2">
        <f>'4. Revenues'!J45</f>
        <v>124616.69531249994</v>
      </c>
      <c r="J15" s="2">
        <f>'4. Revenues'!K45</f>
        <v>143309.19960937492</v>
      </c>
      <c r="K15" s="2">
        <f>'4. Revenues'!L45</f>
        <v>164805.57955078117</v>
      </c>
      <c r="L15" s="2">
        <f>'4. Revenues'!M45</f>
        <v>189526.41648339835</v>
      </c>
      <c r="M15" s="12">
        <f>'4. Revenues'!N45</f>
        <v>217955.378955908</v>
      </c>
    </row>
    <row r="16" spans="1:13" x14ac:dyDescent="0.3">
      <c r="A16" s="7" t="s">
        <v>377</v>
      </c>
      <c r="C16" s="9"/>
      <c r="D16" s="48">
        <v>0</v>
      </c>
      <c r="E16" s="48">
        <f>'7. Operational costs'!E59</f>
        <v>20.357142857142858</v>
      </c>
      <c r="F16" s="48">
        <f>'7. Operational costs'!F59</f>
        <v>23.410714285714285</v>
      </c>
      <c r="G16" s="48">
        <f>'7. Operational costs'!G59</f>
        <v>26.922321428571422</v>
      </c>
      <c r="H16" s="48">
        <f>'7. Operational costs'!H59</f>
        <v>30.960669642857134</v>
      </c>
      <c r="I16" s="48">
        <f>'7. Operational costs'!I59</f>
        <v>35.604770089285701</v>
      </c>
      <c r="J16" s="48">
        <f>'7. Operational costs'!J59</f>
        <v>40.945485602678552</v>
      </c>
      <c r="K16" s="48">
        <f>'7. Operational costs'!K59</f>
        <v>47.087308443080339</v>
      </c>
      <c r="L16" s="48">
        <f>'7. Operational costs'!L59</f>
        <v>54.150404709542386</v>
      </c>
      <c r="M16" s="49">
        <f>'7. Operational costs'!M59</f>
        <v>62.272965415973715</v>
      </c>
    </row>
    <row r="17" spans="1:13" x14ac:dyDescent="0.3">
      <c r="A17" s="7"/>
      <c r="C17" s="9"/>
      <c r="D17" s="2"/>
      <c r="E17" s="2"/>
      <c r="F17" s="2"/>
      <c r="G17" s="2"/>
      <c r="H17" s="2"/>
      <c r="I17" s="2"/>
      <c r="J17" s="2"/>
      <c r="K17" s="2"/>
      <c r="L17" s="2"/>
      <c r="M17" s="12"/>
    </row>
    <row r="18" spans="1:13" x14ac:dyDescent="0.3">
      <c r="A18" s="50" t="s">
        <v>378</v>
      </c>
      <c r="B18" s="22"/>
      <c r="C18" s="57"/>
      <c r="D18" s="51">
        <f>D15-D16</f>
        <v>0</v>
      </c>
      <c r="E18" s="51">
        <f t="shared" ref="E18:M18" si="2">E15-E16</f>
        <v>71229.642857142855</v>
      </c>
      <c r="F18" s="51">
        <f t="shared" si="2"/>
        <v>81914.08928571429</v>
      </c>
      <c r="G18" s="51">
        <f t="shared" si="2"/>
        <v>94201.202678571412</v>
      </c>
      <c r="H18" s="51">
        <f t="shared" si="2"/>
        <v>108331.38308035712</v>
      </c>
      <c r="I18" s="51">
        <f t="shared" si="2"/>
        <v>124581.09054241066</v>
      </c>
      <c r="J18" s="51">
        <f t="shared" si="2"/>
        <v>143268.25412377223</v>
      </c>
      <c r="K18" s="51">
        <f t="shared" si="2"/>
        <v>164758.49224233808</v>
      </c>
      <c r="L18" s="51">
        <f t="shared" si="2"/>
        <v>189472.26607868882</v>
      </c>
      <c r="M18" s="52">
        <f t="shared" si="2"/>
        <v>217893.10599049204</v>
      </c>
    </row>
    <row r="19" spans="1:13" x14ac:dyDescent="0.3">
      <c r="A19" s="50"/>
      <c r="B19" s="22"/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1:13" x14ac:dyDescent="0.3">
      <c r="A20" s="53" t="s">
        <v>230</v>
      </c>
      <c r="B20" s="22"/>
      <c r="C20" s="57"/>
      <c r="D20" s="54">
        <f>'4. Revenues'!E51</f>
        <v>14500</v>
      </c>
      <c r="E20" s="54">
        <f>'4. Revenues'!F51</f>
        <v>107142.85714285714</v>
      </c>
      <c r="F20" s="54">
        <f>'4. Revenues'!G51</f>
        <v>123214.28571428572</v>
      </c>
      <c r="G20" s="54">
        <f>'4. Revenues'!H51</f>
        <v>141696.42857142855</v>
      </c>
      <c r="H20" s="54">
        <f>'4. Revenues'!I51</f>
        <v>162950.89285714281</v>
      </c>
      <c r="I20" s="54">
        <f>'4. Revenues'!J51</f>
        <v>187393.52678571423</v>
      </c>
      <c r="J20" s="54">
        <f>'4. Revenues'!K51</f>
        <v>215502.55580357133</v>
      </c>
      <c r="K20" s="54">
        <f>'4. Revenues'!L51</f>
        <v>247827.93917410704</v>
      </c>
      <c r="L20" s="54">
        <f>'4. Revenues'!M51</f>
        <v>285002.13005022309</v>
      </c>
      <c r="M20" s="55">
        <f>'4. Revenues'!N51</f>
        <v>327752.44955775648</v>
      </c>
    </row>
    <row r="21" spans="1:13" x14ac:dyDescent="0.3">
      <c r="A21" s="53" t="s">
        <v>231</v>
      </c>
      <c r="B21" s="22"/>
      <c r="C21" s="57"/>
      <c r="D21" s="48">
        <f>'7. Operational costs'!D67</f>
        <v>0</v>
      </c>
      <c r="E21" s="48">
        <f>'7. Operational costs'!E67</f>
        <v>107.14285714285714</v>
      </c>
      <c r="F21" s="48">
        <f>'7. Operational costs'!F67</f>
        <v>123.21428571428571</v>
      </c>
      <c r="G21" s="48">
        <f>'7. Operational costs'!G67</f>
        <v>141.69642857142856</v>
      </c>
      <c r="H21" s="48">
        <f>'7. Operational costs'!H67</f>
        <v>162.9508928571428</v>
      </c>
      <c r="I21" s="48">
        <f>'7. Operational costs'!I67</f>
        <v>187.39352678571422</v>
      </c>
      <c r="J21" s="48">
        <f>'7. Operational costs'!J67</f>
        <v>215.50255580357131</v>
      </c>
      <c r="K21" s="48">
        <f>'7. Operational costs'!K67</f>
        <v>247.82793917410703</v>
      </c>
      <c r="L21" s="48">
        <f>'7. Operational costs'!L67</f>
        <v>285.00213005022306</v>
      </c>
      <c r="M21" s="49">
        <f>'7. Operational costs'!M67</f>
        <v>327.75244955775645</v>
      </c>
    </row>
    <row r="22" spans="1:13" x14ac:dyDescent="0.3">
      <c r="A22" s="50"/>
      <c r="B22" s="22"/>
      <c r="C22" s="57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x14ac:dyDescent="0.3">
      <c r="A23" s="50" t="s">
        <v>232</v>
      </c>
      <c r="B23" s="22"/>
      <c r="C23" s="57"/>
      <c r="D23" s="51">
        <f>D20-D21</f>
        <v>14500</v>
      </c>
      <c r="E23" s="51">
        <f t="shared" ref="E23:M23" si="3">E20-E21</f>
        <v>107035.71428571429</v>
      </c>
      <c r="F23" s="51">
        <f t="shared" si="3"/>
        <v>123091.07142857143</v>
      </c>
      <c r="G23" s="51">
        <f t="shared" si="3"/>
        <v>141554.73214285713</v>
      </c>
      <c r="H23" s="51">
        <f t="shared" si="3"/>
        <v>162787.94196428568</v>
      </c>
      <c r="I23" s="51">
        <f t="shared" si="3"/>
        <v>187206.13325892852</v>
      </c>
      <c r="J23" s="51">
        <f t="shared" si="3"/>
        <v>215287.05324776776</v>
      </c>
      <c r="K23" s="51">
        <f t="shared" si="3"/>
        <v>247580.11123493293</v>
      </c>
      <c r="L23" s="51">
        <f t="shared" si="3"/>
        <v>284717.12792017288</v>
      </c>
      <c r="M23" s="52">
        <f t="shared" si="3"/>
        <v>327424.69710819871</v>
      </c>
    </row>
    <row r="24" spans="1:13" x14ac:dyDescent="0.3">
      <c r="A24" s="7"/>
      <c r="C24" s="9"/>
      <c r="D24" s="2"/>
      <c r="E24" s="2"/>
      <c r="F24" s="2"/>
      <c r="G24" s="2"/>
      <c r="H24" s="2"/>
      <c r="I24" s="2"/>
      <c r="J24" s="2"/>
      <c r="K24" s="2"/>
      <c r="L24" s="2"/>
      <c r="M24" s="12"/>
    </row>
    <row r="25" spans="1:13" x14ac:dyDescent="0.3">
      <c r="A25" s="50" t="s">
        <v>384</v>
      </c>
      <c r="B25" s="22"/>
      <c r="C25" s="57"/>
      <c r="D25" s="51">
        <f>D8+D13+D18</f>
        <v>0</v>
      </c>
      <c r="E25" s="51">
        <f>E8+E13+E18+E23</f>
        <v>2433815.0446428568</v>
      </c>
      <c r="F25" s="51">
        <f t="shared" ref="F25:M25" si="4">F8+F13+F18+F23</f>
        <v>2808457.3013392854</v>
      </c>
      <c r="G25" s="51">
        <f t="shared" si="4"/>
        <v>3257949.2559151789</v>
      </c>
      <c r="H25" s="51">
        <f t="shared" si="4"/>
        <v>3805489.1443024548</v>
      </c>
      <c r="I25" s="51">
        <f t="shared" si="4"/>
        <v>4366008.7765337592</v>
      </c>
      <c r="J25" s="51">
        <f t="shared" si="4"/>
        <v>5020002.233638823</v>
      </c>
      <c r="K25" s="51">
        <f t="shared" si="4"/>
        <v>5791522.5888906037</v>
      </c>
      <c r="L25" s="51">
        <f t="shared" si="4"/>
        <v>6543615.9259217074</v>
      </c>
      <c r="M25" s="52">
        <f t="shared" si="4"/>
        <v>7645608.314809964</v>
      </c>
    </row>
    <row r="26" spans="1:13" x14ac:dyDescent="0.3">
      <c r="A26" s="7"/>
      <c r="C26" s="9"/>
      <c r="D26" s="2"/>
      <c r="E26" s="2"/>
      <c r="F26" s="2"/>
      <c r="G26" s="2"/>
      <c r="H26" s="2"/>
      <c r="I26" s="2"/>
      <c r="J26" s="2"/>
      <c r="K26" s="2"/>
      <c r="L26" s="2"/>
      <c r="M26" s="12"/>
    </row>
    <row r="27" spans="1:13" x14ac:dyDescent="0.3">
      <c r="A27" s="31" t="s">
        <v>425</v>
      </c>
      <c r="C27" s="9"/>
      <c r="D27" s="41">
        <f>'5. Marketing Costs'!C37</f>
        <v>133999.5</v>
      </c>
      <c r="E27" s="41">
        <f>'5. Marketing Costs'!D37</f>
        <v>292236.25</v>
      </c>
      <c r="F27" s="41">
        <f>'5. Marketing Costs'!E37</f>
        <v>319947.6328125</v>
      </c>
      <c r="G27" s="41">
        <f>'5. Marketing Costs'!F37</f>
        <v>388763.43867187499</v>
      </c>
      <c r="H27" s="41">
        <f>'5. Marketing Costs'!G37</f>
        <v>471337.49080078118</v>
      </c>
      <c r="I27" s="41">
        <f>'5. Marketing Costs'!H37</f>
        <v>546548.61981152336</v>
      </c>
      <c r="J27" s="41">
        <f>'5. Marketing Costs'!I37</f>
        <v>624362.08238925773</v>
      </c>
      <c r="K27" s="41">
        <f>'5. Marketing Costs'!J37</f>
        <v>667481.62410538562</v>
      </c>
      <c r="L27" s="41">
        <f>'5. Marketing Costs'!K37</f>
        <v>752865.70730910846</v>
      </c>
      <c r="M27" s="56">
        <f>'5. Marketing Costs'!L37</f>
        <v>808295.56340547465</v>
      </c>
    </row>
    <row r="28" spans="1:13" x14ac:dyDescent="0.3">
      <c r="A28" s="7"/>
      <c r="C28" s="9"/>
      <c r="D28" s="2"/>
      <c r="E28" s="2"/>
      <c r="F28" s="2"/>
      <c r="G28" s="2"/>
      <c r="H28" s="2"/>
      <c r="I28" s="2"/>
      <c r="J28" s="2"/>
      <c r="K28" s="2"/>
      <c r="L28" s="2"/>
      <c r="M28" s="12"/>
    </row>
    <row r="29" spans="1:13" x14ac:dyDescent="0.3">
      <c r="A29" s="50" t="s">
        <v>385</v>
      </c>
      <c r="C29" s="9"/>
      <c r="D29" s="41">
        <f>'6 Administration costs'!C27</f>
        <v>985149</v>
      </c>
      <c r="E29" s="41">
        <f>'6 Administration costs'!D27</f>
        <v>2098349</v>
      </c>
      <c r="F29" s="41">
        <f>'6 Administration costs'!E27</f>
        <v>2137949</v>
      </c>
      <c r="G29" s="41">
        <f>'6 Administration costs'!F27</f>
        <v>2356739</v>
      </c>
      <c r="H29" s="41">
        <f>'6 Administration costs'!G27</f>
        <v>2518818.5</v>
      </c>
      <c r="I29" s="41">
        <f>'6 Administration costs'!H27</f>
        <v>2569019.4750000001</v>
      </c>
      <c r="J29" s="41">
        <f>'6 Administration costs'!I27</f>
        <v>2606836.4987500003</v>
      </c>
      <c r="K29" s="41">
        <f>'6 Administration costs'!J27</f>
        <v>2638706.8736875001</v>
      </c>
      <c r="L29" s="41">
        <f>'6 Administration costs'!K27</f>
        <v>2811540.7673718752</v>
      </c>
      <c r="M29" s="56">
        <f>'6 Administration costs'!L27</f>
        <v>2861401.3557404685</v>
      </c>
    </row>
    <row r="30" spans="1:13" x14ac:dyDescent="0.3">
      <c r="A30" s="7"/>
      <c r="C30" s="9"/>
      <c r="D30" s="2"/>
      <c r="E30" s="2"/>
      <c r="F30" s="2"/>
      <c r="G30" s="2"/>
      <c r="H30" s="2"/>
      <c r="I30" s="2"/>
      <c r="J30" s="2"/>
      <c r="K30" s="2"/>
      <c r="L30" s="2"/>
      <c r="M30" s="12"/>
    </row>
    <row r="31" spans="1:13" x14ac:dyDescent="0.3">
      <c r="A31" s="36" t="s">
        <v>424</v>
      </c>
      <c r="B31" s="37"/>
      <c r="C31" s="38"/>
      <c r="D31" s="39">
        <f>'9. Investment Equipment'!F78</f>
        <v>341700</v>
      </c>
      <c r="E31" s="39">
        <f>'9. Investment Equipment'!G78</f>
        <v>466700</v>
      </c>
      <c r="F31" s="39">
        <f>'9. Investment Equipment'!H78</f>
        <v>526700</v>
      </c>
      <c r="G31" s="39">
        <f>'9. Investment Equipment'!I78</f>
        <v>526700</v>
      </c>
      <c r="H31" s="39">
        <f>'9. Investment Equipment'!J78</f>
        <v>526700</v>
      </c>
      <c r="I31" s="39">
        <f>'9. Investment Equipment'!K78</f>
        <v>526700</v>
      </c>
      <c r="J31" s="39">
        <f>'9. Investment Equipment'!L78</f>
        <v>526700</v>
      </c>
      <c r="K31" s="39">
        <f>'9. Investment Equipment'!M78</f>
        <v>469200</v>
      </c>
      <c r="L31" s="39">
        <f>'9. Investment Equipment'!N78</f>
        <v>601700</v>
      </c>
      <c r="M31" s="40">
        <f>'9. Investment Equipment'!O78</f>
        <v>601700</v>
      </c>
    </row>
    <row r="32" spans="1:13" x14ac:dyDescent="0.3">
      <c r="A32" s="7"/>
      <c r="C32" s="9"/>
      <c r="D32" s="2"/>
      <c r="E32" s="2"/>
      <c r="F32" s="2"/>
      <c r="G32" s="2"/>
      <c r="H32" s="2"/>
      <c r="I32" s="2"/>
      <c r="J32" s="2"/>
      <c r="K32" s="2"/>
      <c r="L32" s="2"/>
      <c r="M32" s="12"/>
    </row>
    <row r="33" spans="1:13" x14ac:dyDescent="0.3">
      <c r="A33" s="31" t="s">
        <v>426</v>
      </c>
      <c r="C33" s="9"/>
      <c r="D33" s="41">
        <f>D25-D27-D29-D31</f>
        <v>-1460848.5</v>
      </c>
      <c r="E33" s="41">
        <f t="shared" ref="E33:M33" si="5">E25-E27-E29-E31</f>
        <v>-423470.20535714319</v>
      </c>
      <c r="F33" s="41">
        <f t="shared" si="5"/>
        <v>-176139.33147321455</v>
      </c>
      <c r="G33" s="41">
        <f t="shared" si="5"/>
        <v>-14253.182756695896</v>
      </c>
      <c r="H33" s="41">
        <f t="shared" si="5"/>
        <v>288633.1535016736</v>
      </c>
      <c r="I33" s="41">
        <f t="shared" si="5"/>
        <v>723740.68172223587</v>
      </c>
      <c r="J33" s="41">
        <f t="shared" si="5"/>
        <v>1262103.6524995649</v>
      </c>
      <c r="K33" s="41">
        <f t="shared" si="5"/>
        <v>2016134.0910977181</v>
      </c>
      <c r="L33" s="41">
        <f t="shared" si="5"/>
        <v>2377509.451240724</v>
      </c>
      <c r="M33" s="56">
        <f t="shared" si="5"/>
        <v>3374211.3956640209</v>
      </c>
    </row>
    <row r="34" spans="1:13" x14ac:dyDescent="0.3">
      <c r="A34" s="26"/>
      <c r="B34" s="14"/>
      <c r="C34" s="32"/>
      <c r="D34" s="15" t="s">
        <v>290</v>
      </c>
      <c r="E34" s="15"/>
      <c r="F34" s="15"/>
      <c r="G34" s="15"/>
      <c r="H34" s="15"/>
      <c r="I34" s="15"/>
      <c r="J34" s="15"/>
      <c r="K34" s="15"/>
      <c r="L34" s="15"/>
      <c r="M34" s="16"/>
    </row>
    <row r="35" spans="1:13" x14ac:dyDescent="0.3">
      <c r="A35" s="28"/>
      <c r="B35" s="4"/>
      <c r="C35" s="6"/>
      <c r="D35" s="110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1:13" x14ac:dyDescent="0.3">
      <c r="A36" s="112" t="s">
        <v>23</v>
      </c>
      <c r="C36" s="9"/>
      <c r="D36" s="2">
        <v>0</v>
      </c>
      <c r="E36" s="2">
        <f>E33*0.3</f>
        <v>-127041.06160714295</v>
      </c>
      <c r="F36" s="2">
        <f t="shared" ref="F36:M36" si="6">F33*0.3</f>
        <v>-52841.799441964366</v>
      </c>
      <c r="G36" s="2">
        <f t="shared" si="6"/>
        <v>-4275.9548270087689</v>
      </c>
      <c r="H36" s="2">
        <f t="shared" si="6"/>
        <v>86589.946050502083</v>
      </c>
      <c r="I36" s="2">
        <f t="shared" si="6"/>
        <v>217122.20451667075</v>
      </c>
      <c r="J36" s="2">
        <f t="shared" si="6"/>
        <v>378631.09574986948</v>
      </c>
      <c r="K36" s="2">
        <f t="shared" si="6"/>
        <v>604840.22732931538</v>
      </c>
      <c r="L36" s="2">
        <f t="shared" si="6"/>
        <v>713252.83537221712</v>
      </c>
      <c r="M36" s="12">
        <f t="shared" si="6"/>
        <v>1012263.4186992062</v>
      </c>
    </row>
    <row r="37" spans="1:13" x14ac:dyDescent="0.3">
      <c r="A37" s="7"/>
      <c r="C37" s="9"/>
      <c r="D37" s="2"/>
      <c r="E37" s="2"/>
      <c r="F37" s="2"/>
      <c r="G37" s="2"/>
      <c r="H37" s="2"/>
      <c r="I37" s="2"/>
      <c r="J37" s="2"/>
      <c r="K37" s="2"/>
      <c r="L37" s="2"/>
      <c r="M37" s="12"/>
    </row>
    <row r="38" spans="1:13" x14ac:dyDescent="0.3">
      <c r="A38" s="113" t="s">
        <v>24</v>
      </c>
      <c r="B38" s="14"/>
      <c r="C38" s="32"/>
      <c r="D38" s="114">
        <f>D33</f>
        <v>-1460848.5</v>
      </c>
      <c r="E38" s="114">
        <f>E33-E36</f>
        <v>-296429.14375000022</v>
      </c>
      <c r="F38" s="114">
        <f t="shared" ref="F38:M38" si="7">F33-F36</f>
        <v>-123297.53203125019</v>
      </c>
      <c r="G38" s="114">
        <f t="shared" si="7"/>
        <v>-9977.2279296871275</v>
      </c>
      <c r="H38" s="114">
        <f t="shared" si="7"/>
        <v>202043.20745117153</v>
      </c>
      <c r="I38" s="114">
        <f t="shared" si="7"/>
        <v>506618.47720556508</v>
      </c>
      <c r="J38" s="114">
        <f t="shared" si="7"/>
        <v>883472.55674969545</v>
      </c>
      <c r="K38" s="114">
        <f t="shared" si="7"/>
        <v>1411293.8637684027</v>
      </c>
      <c r="L38" s="114">
        <f t="shared" si="7"/>
        <v>1664256.615868507</v>
      </c>
      <c r="M38" s="115">
        <f t="shared" si="7"/>
        <v>2361947.9769648146</v>
      </c>
    </row>
    <row r="39" spans="1:13" x14ac:dyDescent="0.3"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3"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3"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3"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3"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3"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3"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"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3"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3"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4:13" x14ac:dyDescent="0.3"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4:13" x14ac:dyDescent="0.3"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4:13" x14ac:dyDescent="0.3"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4:13" x14ac:dyDescent="0.3"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4:13" x14ac:dyDescent="0.3"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4:13" x14ac:dyDescent="0.3">
      <c r="D54" s="2"/>
      <c r="E54" s="2"/>
      <c r="F54" s="2"/>
      <c r="G54" s="2"/>
      <c r="H54" s="2"/>
      <c r="I54" s="2"/>
      <c r="J54" s="2"/>
      <c r="K54" s="2"/>
      <c r="L54" s="2"/>
      <c r="M54" s="2"/>
    </row>
  </sheetData>
  <phoneticPr fontId="1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"/>
  <sheetViews>
    <sheetView workbookViewId="0">
      <selection activeCell="D6" sqref="D6"/>
    </sheetView>
  </sheetViews>
  <sheetFormatPr defaultColWidth="11" defaultRowHeight="13.5" x14ac:dyDescent="0.3"/>
  <cols>
    <col min="1" max="1" width="32.3828125" customWidth="1"/>
    <col min="3" max="3" width="11.61328125" customWidth="1"/>
    <col min="11" max="12" width="11.3828125" bestFit="1" customWidth="1"/>
  </cols>
  <sheetData>
    <row r="1" spans="1:12" x14ac:dyDescent="0.3">
      <c r="A1" s="61" t="s">
        <v>305</v>
      </c>
    </row>
    <row r="2" spans="1:12" x14ac:dyDescent="0.3">
      <c r="A2" s="58"/>
      <c r="B2" s="47"/>
      <c r="C2" s="77">
        <v>2019</v>
      </c>
      <c r="D2" s="77">
        <v>2020</v>
      </c>
      <c r="E2" s="77">
        <v>2021</v>
      </c>
      <c r="F2" s="77">
        <v>2022</v>
      </c>
      <c r="G2" s="77">
        <v>2023</v>
      </c>
      <c r="H2" s="77">
        <v>2024</v>
      </c>
      <c r="I2" s="77">
        <v>2025</v>
      </c>
      <c r="J2" s="77">
        <v>2026</v>
      </c>
      <c r="K2" s="77">
        <v>2027</v>
      </c>
      <c r="L2" s="78">
        <v>2028</v>
      </c>
    </row>
    <row r="3" spans="1:12" x14ac:dyDescent="0.3">
      <c r="A3" s="71" t="s">
        <v>55</v>
      </c>
      <c r="B3" s="86"/>
      <c r="C3" s="141">
        <v>0</v>
      </c>
      <c r="D3" s="65">
        <f>C34</f>
        <v>-2676048.5</v>
      </c>
      <c r="E3" s="65">
        <f t="shared" ref="E3:L3" si="0">D34</f>
        <v>-3005777.6437499998</v>
      </c>
      <c r="F3" s="65">
        <f t="shared" si="0"/>
        <v>-2902375.1757812495</v>
      </c>
      <c r="G3" s="65">
        <f t="shared" si="0"/>
        <v>-2385652.4037109367</v>
      </c>
      <c r="H3" s="65">
        <f t="shared" si="0"/>
        <v>-2381909.1962597654</v>
      </c>
      <c r="I3" s="65">
        <f t="shared" si="0"/>
        <v>-2588590.7190541998</v>
      </c>
      <c r="J3" s="65">
        <f t="shared" si="0"/>
        <v>-1178418.1623045043</v>
      </c>
      <c r="K3" s="65">
        <f t="shared" si="0"/>
        <v>402075.70146389888</v>
      </c>
      <c r="L3" s="72">
        <f t="shared" si="0"/>
        <v>1143032.3173324056</v>
      </c>
    </row>
    <row r="4" spans="1:12" x14ac:dyDescent="0.3">
      <c r="A4" s="7"/>
      <c r="B4" s="9"/>
      <c r="L4" s="9"/>
    </row>
    <row r="5" spans="1:12" x14ac:dyDescent="0.3">
      <c r="A5" s="71" t="s">
        <v>56</v>
      </c>
      <c r="B5" s="9"/>
      <c r="L5" s="9"/>
    </row>
    <row r="6" spans="1:12" x14ac:dyDescent="0.3">
      <c r="A6" s="7" t="str">
        <f>'6 Administration costs'!A27</f>
        <v>Total Administration Costs</v>
      </c>
      <c r="B6" s="9"/>
      <c r="C6" s="2">
        <f>'6 Administration costs'!C27</f>
        <v>985149</v>
      </c>
      <c r="D6" s="2">
        <f>'6 Administration costs'!D27</f>
        <v>2098349</v>
      </c>
      <c r="E6" s="2">
        <f>'6 Administration costs'!E27</f>
        <v>2137949</v>
      </c>
      <c r="F6" s="2">
        <f>'6 Administration costs'!F27</f>
        <v>2356739</v>
      </c>
      <c r="G6" s="2">
        <f>'6 Administration costs'!G27</f>
        <v>2518818.5</v>
      </c>
      <c r="H6" s="2">
        <f>'6 Administration costs'!H27</f>
        <v>2569019.4750000001</v>
      </c>
      <c r="I6" s="2">
        <f>'6 Administration costs'!I27</f>
        <v>2606836.4987500003</v>
      </c>
      <c r="J6" s="2">
        <f>'6 Administration costs'!J27</f>
        <v>2638706.8736875001</v>
      </c>
      <c r="K6" s="2">
        <f>'6 Administration costs'!K27</f>
        <v>2811540.7673718752</v>
      </c>
      <c r="L6" s="12">
        <f>'6 Administration costs'!L27</f>
        <v>2861401.3557404685</v>
      </c>
    </row>
    <row r="7" spans="1:12" x14ac:dyDescent="0.3">
      <c r="A7" s="7" t="s">
        <v>462</v>
      </c>
      <c r="B7" s="9"/>
      <c r="C7" s="2">
        <f>'7. Operational costs'!D7</f>
        <v>0</v>
      </c>
      <c r="D7" s="2">
        <f>'7. Operational costs'!E7</f>
        <v>0</v>
      </c>
      <c r="E7" s="2">
        <f>'7. Operational costs'!F7</f>
        <v>0</v>
      </c>
      <c r="F7" s="2">
        <f>'7. Operational costs'!G7</f>
        <v>0</v>
      </c>
      <c r="G7" s="2">
        <f>'7. Operational costs'!H7</f>
        <v>0</v>
      </c>
      <c r="H7" s="2">
        <f>'7. Operational costs'!I7</f>
        <v>0</v>
      </c>
      <c r="I7" s="2">
        <f>'7. Operational costs'!J7</f>
        <v>0</v>
      </c>
      <c r="J7" s="2">
        <f>'7. Operational costs'!K7</f>
        <v>0</v>
      </c>
      <c r="K7" s="2">
        <f>'7. Operational costs'!L7</f>
        <v>0</v>
      </c>
      <c r="L7" s="12">
        <f>'7. Operational costs'!M7</f>
        <v>0</v>
      </c>
    </row>
    <row r="8" spans="1:12" x14ac:dyDescent="0.3">
      <c r="A8" s="7" t="str">
        <f>'7. Operational costs'!A36</f>
        <v>Total Operating Costs Baobab powder production</v>
      </c>
      <c r="B8" s="9"/>
      <c r="C8" s="2">
        <f>'7. Operational costs'!D36</f>
        <v>0</v>
      </c>
      <c r="D8" s="2">
        <f>'7. Operational costs'!E36</f>
        <v>69740</v>
      </c>
      <c r="E8" s="2">
        <f>'7. Operational costs'!F36</f>
        <v>139106</v>
      </c>
      <c r="F8" s="2">
        <f>'7. Operational costs'!G36</f>
        <v>139181.9</v>
      </c>
      <c r="G8" s="2">
        <f>'7. Operational costs'!H36</f>
        <v>139269.185</v>
      </c>
      <c r="H8" s="2">
        <f>'7. Operational costs'!I36</f>
        <v>208669.56275000001</v>
      </c>
      <c r="I8" s="2">
        <f>'7. Operational costs'!J36</f>
        <v>208784.99716250002</v>
      </c>
      <c r="J8" s="2">
        <f>'7. Operational costs'!K36</f>
        <v>278217.74673687498</v>
      </c>
      <c r="K8" s="2">
        <f>'7. Operational costs'!L36</f>
        <v>347670.40874740627</v>
      </c>
      <c r="L8" s="12">
        <f>'7. Operational costs'!M36</f>
        <v>347845.97005951719</v>
      </c>
    </row>
    <row r="9" spans="1:12" x14ac:dyDescent="0.3">
      <c r="A9" s="7" t="str">
        <f>'7. Operational costs'!A52</f>
        <v>Total Operating costs Baobab oil production</v>
      </c>
      <c r="B9" s="9"/>
      <c r="C9" s="2">
        <f>'7. Operational costs'!D52</f>
        <v>0</v>
      </c>
      <c r="D9" s="2">
        <f>'7. Operational costs'!E52</f>
        <v>469710.3125</v>
      </c>
      <c r="E9" s="2">
        <f>'7. Operational costs'!F52</f>
        <v>471691.859375</v>
      </c>
      <c r="F9" s="2">
        <f>'7. Operational costs'!G52</f>
        <v>472606.81015625002</v>
      </c>
      <c r="G9" s="2">
        <f>'7. Operational costs'!H52</f>
        <v>475022.83167968749</v>
      </c>
      <c r="H9" s="2">
        <f>'7. Operational costs'!I52</f>
        <v>475276.12865820306</v>
      </c>
      <c r="I9" s="2">
        <f>'7. Operational costs'!J52</f>
        <v>478092.54795693356</v>
      </c>
      <c r="J9" s="2">
        <f>'7. Operational costs'!K52</f>
        <v>477991.94867010263</v>
      </c>
      <c r="K9" s="2">
        <f>'7. Operational costs'!L52</f>
        <v>480667.11187027121</v>
      </c>
      <c r="L9" s="12">
        <f>'7. Operational costs'!M52</f>
        <v>484292.1786508119</v>
      </c>
    </row>
    <row r="10" spans="1:12" x14ac:dyDescent="0.3">
      <c r="A10" s="7" t="str">
        <f>'7. Operational costs'!A67</f>
        <v>Total Operating Costs Baobab Seed for Sale</v>
      </c>
      <c r="B10" s="9"/>
      <c r="C10" s="2">
        <f>'7. Operational costs'!D67</f>
        <v>0</v>
      </c>
      <c r="D10" s="2">
        <f>'7. Operational costs'!E67</f>
        <v>107.14285714285714</v>
      </c>
      <c r="E10" s="2">
        <f>'7. Operational costs'!F67</f>
        <v>123.21428571428571</v>
      </c>
      <c r="F10" s="2">
        <f>'7. Operational costs'!G67</f>
        <v>141.69642857142856</v>
      </c>
      <c r="G10" s="2">
        <f>'7. Operational costs'!H67</f>
        <v>162.9508928571428</v>
      </c>
      <c r="H10" s="2">
        <f>'7. Operational costs'!I67</f>
        <v>187.39352678571422</v>
      </c>
      <c r="I10" s="2">
        <f>'7. Operational costs'!J67</f>
        <v>215.50255580357131</v>
      </c>
      <c r="J10" s="2">
        <f>'7. Operational costs'!K67</f>
        <v>247.82793917410703</v>
      </c>
      <c r="K10" s="2">
        <f>'7. Operational costs'!L67</f>
        <v>285.00213005022306</v>
      </c>
      <c r="L10" s="12">
        <f>'7. Operational costs'!M67</f>
        <v>327.75244955775645</v>
      </c>
    </row>
    <row r="11" spans="1:12" x14ac:dyDescent="0.3">
      <c r="A11" s="7" t="str">
        <f>'7. Operational costs'!A59</f>
        <v>Total Operating Costs Baobab seed cake</v>
      </c>
      <c r="B11" s="9"/>
      <c r="C11" s="2">
        <f>'7. Operational costs'!D59</f>
        <v>0</v>
      </c>
      <c r="D11" s="2">
        <f>'7. Operational costs'!E59</f>
        <v>20.357142857142858</v>
      </c>
      <c r="E11" s="2">
        <f>'7. Operational costs'!F59</f>
        <v>23.410714285714285</v>
      </c>
      <c r="F11" s="2">
        <f>'7. Operational costs'!G59</f>
        <v>26.922321428571422</v>
      </c>
      <c r="G11" s="2">
        <f>'7. Operational costs'!H59</f>
        <v>30.960669642857134</v>
      </c>
      <c r="H11" s="2">
        <f>'7. Operational costs'!I59</f>
        <v>35.604770089285701</v>
      </c>
      <c r="I11" s="2">
        <f>'7. Operational costs'!J59</f>
        <v>40.945485602678552</v>
      </c>
      <c r="J11" s="2">
        <f>'7. Operational costs'!K59</f>
        <v>47.087308443080339</v>
      </c>
      <c r="K11" s="2">
        <f>'7. Operational costs'!L59</f>
        <v>54.150404709542386</v>
      </c>
      <c r="L11" s="12">
        <f>'7. Operational costs'!M59</f>
        <v>62.272965415973715</v>
      </c>
    </row>
    <row r="12" spans="1:12" x14ac:dyDescent="0.3">
      <c r="A12" s="7" t="str">
        <f>'5. Marketing Costs'!A37</f>
        <v>Total Marketing Costs</v>
      </c>
      <c r="B12" s="9"/>
      <c r="C12" s="48">
        <f>'5. Marketing Costs'!C37</f>
        <v>133999.5</v>
      </c>
      <c r="D12" s="48">
        <f>'5. Marketing Costs'!D37</f>
        <v>292236.25</v>
      </c>
      <c r="E12" s="48">
        <f>'5. Marketing Costs'!E37</f>
        <v>319947.6328125</v>
      </c>
      <c r="F12" s="48">
        <f>'5. Marketing Costs'!F37</f>
        <v>388763.43867187499</v>
      </c>
      <c r="G12" s="48">
        <f>'5. Marketing Costs'!G37</f>
        <v>471337.49080078118</v>
      </c>
      <c r="H12" s="48">
        <f>'5. Marketing Costs'!H37</f>
        <v>546548.61981152336</v>
      </c>
      <c r="I12" s="48">
        <f>'5. Marketing Costs'!I37</f>
        <v>624362.08238925773</v>
      </c>
      <c r="J12" s="48">
        <f>'5. Marketing Costs'!J37</f>
        <v>667481.62410538562</v>
      </c>
      <c r="K12" s="48">
        <f>'5. Marketing Costs'!K37</f>
        <v>752865.70730910846</v>
      </c>
      <c r="L12" s="49">
        <f>'5. Marketing Costs'!L37</f>
        <v>808295.56340547465</v>
      </c>
    </row>
    <row r="13" spans="1:12" s="129" customFormat="1" x14ac:dyDescent="0.3">
      <c r="A13" s="131" t="s">
        <v>220</v>
      </c>
      <c r="B13" s="132"/>
      <c r="C13" s="133">
        <f>SUM(C6:C12)</f>
        <v>1119148.5</v>
      </c>
      <c r="D13" s="133">
        <f>SUM(D6:D12)</f>
        <v>2930163.0625</v>
      </c>
      <c r="E13" s="133">
        <f t="shared" ref="E13:L13" si="1">SUM(E6:E12)</f>
        <v>3068841.1171875</v>
      </c>
      <c r="F13" s="133">
        <f t="shared" si="1"/>
        <v>3357459.7675781245</v>
      </c>
      <c r="G13" s="133">
        <f t="shared" si="1"/>
        <v>3604641.9190429687</v>
      </c>
      <c r="H13" s="133">
        <f t="shared" si="1"/>
        <v>3799736.7845166014</v>
      </c>
      <c r="I13" s="133">
        <f t="shared" si="1"/>
        <v>3918332.5743000978</v>
      </c>
      <c r="J13" s="133">
        <f t="shared" si="1"/>
        <v>4062693.1084474805</v>
      </c>
      <c r="K13" s="133">
        <f t="shared" si="1"/>
        <v>4393083.1478334209</v>
      </c>
      <c r="L13" s="134">
        <f t="shared" si="1"/>
        <v>4502225.0932712462</v>
      </c>
    </row>
    <row r="14" spans="1:12" x14ac:dyDescent="0.3">
      <c r="A14" s="7"/>
      <c r="B14" s="9"/>
      <c r="C14" s="2"/>
      <c r="D14" s="2"/>
      <c r="E14" s="2"/>
      <c r="F14" s="2"/>
      <c r="G14" s="2"/>
      <c r="H14" s="2"/>
      <c r="I14" s="2"/>
      <c r="J14" s="2"/>
      <c r="K14" s="2"/>
      <c r="L14" s="12"/>
    </row>
    <row r="15" spans="1:12" x14ac:dyDescent="0.3">
      <c r="A15" s="7"/>
      <c r="B15" s="9"/>
      <c r="C15" s="2"/>
      <c r="D15" s="2"/>
      <c r="E15" s="2"/>
      <c r="F15" s="2"/>
      <c r="G15" s="2"/>
      <c r="H15" s="2"/>
      <c r="I15" s="2"/>
      <c r="J15" s="2"/>
      <c r="K15" s="2"/>
      <c r="L15" s="12"/>
    </row>
    <row r="16" spans="1:12" x14ac:dyDescent="0.3">
      <c r="A16" s="7"/>
      <c r="B16" s="9"/>
      <c r="C16" s="2"/>
      <c r="D16" s="2"/>
      <c r="E16" s="2"/>
      <c r="F16" s="2"/>
      <c r="G16" s="2"/>
      <c r="H16" s="2"/>
      <c r="I16" s="2"/>
      <c r="J16" s="2"/>
      <c r="K16" s="2"/>
      <c r="L16" s="12"/>
    </row>
    <row r="17" spans="1:12" x14ac:dyDescent="0.3">
      <c r="A17" s="71" t="s">
        <v>57</v>
      </c>
      <c r="B17" s="9"/>
      <c r="C17" s="2"/>
      <c r="D17" s="2"/>
      <c r="E17" s="2"/>
      <c r="F17" s="2"/>
      <c r="G17" s="2"/>
      <c r="H17" s="2"/>
      <c r="I17" s="2"/>
      <c r="J17" s="2"/>
      <c r="K17" s="2"/>
      <c r="L17" s="12"/>
    </row>
    <row r="18" spans="1:12" x14ac:dyDescent="0.3">
      <c r="A18" s="7" t="str">
        <f>'4. Revenues'!B20</f>
        <v>Total Revenue Baobab Powder</v>
      </c>
      <c r="B18" s="9"/>
      <c r="C18" s="2">
        <f>'4. Revenues'!E20</f>
        <v>4100</v>
      </c>
      <c r="D18" s="2">
        <f>'4. Revenues'!F20</f>
        <v>2420000</v>
      </c>
      <c r="E18" s="2">
        <f>'4. Revenues'!G20</f>
        <v>2783000</v>
      </c>
      <c r="F18" s="2">
        <f>'4. Revenues'!H20</f>
        <v>3134325</v>
      </c>
      <c r="G18" s="2">
        <f>'4. Revenues'!I20</f>
        <v>3574056.2499999991</v>
      </c>
      <c r="H18" s="2">
        <f>'4. Revenues'!J20</f>
        <v>4110164.6874999986</v>
      </c>
      <c r="I18" s="2">
        <f>'4. Revenues'!K20</f>
        <v>4626121.5312499981</v>
      </c>
      <c r="J18" s="2">
        <f>'4. Revenues'!L20</f>
        <v>5320039.760937498</v>
      </c>
      <c r="K18" s="2">
        <f>'4. Revenues'!M20</f>
        <v>5985044.7310546841</v>
      </c>
      <c r="L18" s="12">
        <f>'4. Revenues'!N20</f>
        <v>6882801.4407128869</v>
      </c>
    </row>
    <row r="19" spans="1:12" x14ac:dyDescent="0.3">
      <c r="A19" s="7" t="str">
        <f>'4. Revenues'!B39</f>
        <v>Total Revenue Baobab Oil</v>
      </c>
      <c r="B19" s="9"/>
      <c r="C19" s="2">
        <f>'4. Revenues'!E39</f>
        <v>4000</v>
      </c>
      <c r="D19" s="2">
        <f>'4. Revenues'!F39</f>
        <v>375000</v>
      </c>
      <c r="E19" s="2">
        <f>'4. Revenues'!G39</f>
        <v>431250</v>
      </c>
      <c r="F19" s="2">
        <f>'4. Revenues'!H39</f>
        <v>499657.03125</v>
      </c>
      <c r="G19" s="2">
        <f>'4. Revenues'!I39</f>
        <v>574605.58593749988</v>
      </c>
      <c r="H19" s="2">
        <f>'4. Revenues'!J39</f>
        <v>628002.55664062477</v>
      </c>
      <c r="I19" s="2">
        <f>'4. Revenues'!K39</f>
        <v>722202.94013671856</v>
      </c>
      <c r="J19" s="2">
        <f>'4. Revenues'!L39</f>
        <v>815353.91988281219</v>
      </c>
      <c r="K19" s="2">
        <f>'4. Revenues'!M39</f>
        <v>912719.3214858392</v>
      </c>
      <c r="L19" s="12">
        <f>'4. Revenues'!N39</f>
        <v>1049627.2197087149</v>
      </c>
    </row>
    <row r="20" spans="1:12" x14ac:dyDescent="0.3">
      <c r="A20" s="7" t="str">
        <f>'4. Revenues'!A51</f>
        <v>Baobab seed sales revenue</v>
      </c>
      <c r="B20" s="9"/>
      <c r="C20" s="2">
        <f>'4. Revenues'!E51</f>
        <v>14500</v>
      </c>
      <c r="D20" s="2">
        <f>'4. Revenues'!F51</f>
        <v>107142.85714285714</v>
      </c>
      <c r="E20" s="2">
        <f>'4. Revenues'!G51</f>
        <v>123214.28571428572</v>
      </c>
      <c r="F20" s="2">
        <f>'4. Revenues'!H51</f>
        <v>141696.42857142855</v>
      </c>
      <c r="G20" s="2">
        <f>'4. Revenues'!I51</f>
        <v>162950.89285714281</v>
      </c>
      <c r="H20" s="2">
        <f>'4. Revenues'!J51</f>
        <v>187393.52678571423</v>
      </c>
      <c r="I20" s="2">
        <f>'4. Revenues'!K51</f>
        <v>215502.55580357133</v>
      </c>
      <c r="J20" s="2">
        <f>'4. Revenues'!L51</f>
        <v>247827.93917410704</v>
      </c>
      <c r="K20" s="2">
        <f>'4. Revenues'!M51</f>
        <v>285002.13005022309</v>
      </c>
      <c r="L20" s="12">
        <f>'4. Revenues'!N51</f>
        <v>327752.44955775648</v>
      </c>
    </row>
    <row r="21" spans="1:12" x14ac:dyDescent="0.3">
      <c r="A21" s="7" t="str">
        <f>'4. Revenues'!A45</f>
        <v>Baobab seedcake sales revenue</v>
      </c>
      <c r="B21" s="9"/>
      <c r="C21" s="48">
        <f>'4. Revenues'!E45</f>
        <v>10000</v>
      </c>
      <c r="D21" s="48">
        <f>'4. Revenues'!F45</f>
        <v>71250</v>
      </c>
      <c r="E21" s="48">
        <f>'4. Revenues'!G45</f>
        <v>81937.5</v>
      </c>
      <c r="F21" s="48">
        <f>'4. Revenues'!H45</f>
        <v>94228.124999999985</v>
      </c>
      <c r="G21" s="48">
        <f>'4. Revenues'!I45</f>
        <v>108362.34374999997</v>
      </c>
      <c r="H21" s="48">
        <f>'4. Revenues'!J45</f>
        <v>124616.69531249994</v>
      </c>
      <c r="I21" s="48">
        <f>'4. Revenues'!K45</f>
        <v>143309.19960937492</v>
      </c>
      <c r="J21" s="48">
        <f>'4. Revenues'!L45</f>
        <v>164805.57955078117</v>
      </c>
      <c r="K21" s="48">
        <f>'4. Revenues'!M45</f>
        <v>189526.41648339835</v>
      </c>
      <c r="L21" s="49">
        <f>'4. Revenues'!N45</f>
        <v>217955.378955908</v>
      </c>
    </row>
    <row r="22" spans="1:12" s="129" customFormat="1" x14ac:dyDescent="0.3">
      <c r="A22" s="131" t="s">
        <v>221</v>
      </c>
      <c r="B22" s="132"/>
      <c r="C22" s="133">
        <f>SUM(C18:C21)</f>
        <v>32600</v>
      </c>
      <c r="D22" s="133">
        <f t="shared" ref="D22:L22" si="2">SUM(D18:D21)</f>
        <v>2973392.8571428573</v>
      </c>
      <c r="E22" s="133">
        <f t="shared" si="2"/>
        <v>3419401.7857142859</v>
      </c>
      <c r="F22" s="133">
        <f t="shared" si="2"/>
        <v>3869906.5848214286</v>
      </c>
      <c r="G22" s="133">
        <f t="shared" si="2"/>
        <v>4419975.0725446418</v>
      </c>
      <c r="H22" s="133">
        <f t="shared" si="2"/>
        <v>5050177.4662388377</v>
      </c>
      <c r="I22" s="133">
        <f t="shared" si="2"/>
        <v>5707136.2267996622</v>
      </c>
      <c r="J22" s="133">
        <f t="shared" si="2"/>
        <v>6548027.1995451991</v>
      </c>
      <c r="K22" s="133">
        <f t="shared" si="2"/>
        <v>7372292.5990741448</v>
      </c>
      <c r="L22" s="134">
        <f t="shared" si="2"/>
        <v>8478136.4889352657</v>
      </c>
    </row>
    <row r="23" spans="1:12" x14ac:dyDescent="0.3">
      <c r="A23" s="7"/>
      <c r="B23" s="9"/>
      <c r="C23" s="2"/>
      <c r="D23" s="2"/>
      <c r="E23" s="2"/>
      <c r="F23" s="2"/>
      <c r="G23" s="2"/>
      <c r="H23" s="2"/>
      <c r="I23" s="2"/>
      <c r="J23" s="2"/>
      <c r="K23" s="2"/>
      <c r="L23" s="12"/>
    </row>
    <row r="24" spans="1:12" x14ac:dyDescent="0.3">
      <c r="A24" s="7"/>
      <c r="B24" s="9"/>
      <c r="C24" s="2"/>
      <c r="D24" s="2"/>
      <c r="E24" s="2"/>
      <c r="F24" s="2"/>
      <c r="G24" s="2"/>
      <c r="H24" s="2"/>
      <c r="I24" s="2"/>
      <c r="J24" s="2"/>
      <c r="K24" s="2"/>
      <c r="L24" s="12"/>
    </row>
    <row r="25" spans="1:12" x14ac:dyDescent="0.3">
      <c r="A25" s="71" t="s">
        <v>56</v>
      </c>
      <c r="B25" s="9"/>
      <c r="C25" s="2"/>
      <c r="D25" s="2"/>
      <c r="E25" s="2"/>
      <c r="F25" s="2"/>
      <c r="G25" s="2"/>
      <c r="H25" s="2"/>
      <c r="I25" s="2"/>
      <c r="J25" s="2"/>
      <c r="K25" s="2"/>
      <c r="L25" s="12"/>
    </row>
    <row r="26" spans="1:12" x14ac:dyDescent="0.3">
      <c r="A26" s="7" t="s">
        <v>222</v>
      </c>
      <c r="B26" s="9"/>
      <c r="C26" s="2">
        <f>'9. Investment Equipment'!F51</f>
        <v>1589500</v>
      </c>
      <c r="D26" s="2">
        <f>'9. Investment Equipment'!G51</f>
        <v>500000</v>
      </c>
      <c r="E26" s="2">
        <f>'9. Investment Equipment'!H51</f>
        <v>300000</v>
      </c>
      <c r="F26" s="2">
        <f>'9. Investment Equipment'!I51</f>
        <v>0</v>
      </c>
      <c r="G26" s="2">
        <f>'9. Investment Equipment'!J51</f>
        <v>725000</v>
      </c>
      <c r="H26" s="2">
        <f>'9. Investment Equipment'!K51</f>
        <v>1240000</v>
      </c>
      <c r="I26" s="2">
        <f>'9. Investment Equipment'!L51</f>
        <v>0</v>
      </c>
      <c r="J26" s="2">
        <f>'9. Investment Equipment'!M51</f>
        <v>300000</v>
      </c>
      <c r="K26" s="2">
        <f>'9. Investment Equipment'!N51</f>
        <v>1525000</v>
      </c>
      <c r="L26" s="12">
        <f>'9. Investment Equipment'!O51</f>
        <v>0</v>
      </c>
    </row>
    <row r="27" spans="1:12" x14ac:dyDescent="0.3">
      <c r="A27" s="7"/>
      <c r="B27" s="9"/>
      <c r="C27" s="2"/>
      <c r="D27" s="2"/>
      <c r="E27" s="2"/>
      <c r="F27" s="2"/>
      <c r="G27" s="2"/>
      <c r="H27" s="2"/>
      <c r="I27" s="2"/>
      <c r="J27" s="2"/>
      <c r="K27" s="2"/>
      <c r="L27" s="12"/>
    </row>
    <row r="28" spans="1:12" x14ac:dyDescent="0.3">
      <c r="A28" s="112" t="s">
        <v>26</v>
      </c>
      <c r="B28" s="9"/>
      <c r="C28" s="2"/>
      <c r="D28" s="2"/>
      <c r="E28" s="2"/>
      <c r="F28" s="2"/>
      <c r="G28" s="2"/>
      <c r="H28" s="2"/>
      <c r="I28" s="2"/>
      <c r="J28" s="2"/>
      <c r="K28" s="2"/>
      <c r="L28" s="12"/>
    </row>
    <row r="29" spans="1:12" x14ac:dyDescent="0.3">
      <c r="A29" s="7" t="s">
        <v>25</v>
      </c>
      <c r="B29" s="9"/>
      <c r="C29" s="2">
        <f>'2. Income Statement'!D36</f>
        <v>0</v>
      </c>
      <c r="D29" s="2">
        <f>'2. Income Statement'!E36</f>
        <v>-127041.06160714295</v>
      </c>
      <c r="E29" s="2">
        <f>'2. Income Statement'!F36</f>
        <v>-52841.799441964366</v>
      </c>
      <c r="F29" s="2">
        <f>'2. Income Statement'!G36</f>
        <v>-4275.9548270087689</v>
      </c>
      <c r="G29" s="2">
        <f>'2. Income Statement'!H36</f>
        <v>86589.946050502083</v>
      </c>
      <c r="H29" s="2">
        <f>'2. Income Statement'!I36</f>
        <v>217122.20451667075</v>
      </c>
      <c r="I29" s="2">
        <f>'2. Income Statement'!J36</f>
        <v>378631.09574986948</v>
      </c>
      <c r="J29" s="2">
        <f>'2. Income Statement'!K36</f>
        <v>604840.22732931538</v>
      </c>
      <c r="K29" s="2">
        <f>'2. Income Statement'!L36</f>
        <v>713252.83537221712</v>
      </c>
      <c r="L29" s="2">
        <f>'2. Income Statement'!M36</f>
        <v>1012263.4186992062</v>
      </c>
    </row>
    <row r="30" spans="1:12" x14ac:dyDescent="0.3">
      <c r="A30" s="7"/>
      <c r="B30" s="9"/>
      <c r="C30" s="2"/>
      <c r="D30" s="2"/>
      <c r="E30" s="2"/>
      <c r="F30" s="2"/>
      <c r="G30" s="2"/>
      <c r="H30" s="2"/>
      <c r="I30" s="2"/>
      <c r="J30" s="2"/>
      <c r="K30" s="2"/>
      <c r="L30" s="12"/>
    </row>
    <row r="31" spans="1:12" x14ac:dyDescent="0.3">
      <c r="A31" s="71" t="s">
        <v>58</v>
      </c>
      <c r="B31" s="9"/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9">
        <v>0</v>
      </c>
    </row>
    <row r="32" spans="1:12" x14ac:dyDescent="0.3">
      <c r="A32" s="7"/>
      <c r="B32" s="9"/>
      <c r="C32" s="2"/>
      <c r="D32" s="2"/>
      <c r="E32" s="2"/>
      <c r="F32" s="2"/>
      <c r="G32" s="2"/>
      <c r="H32" s="2"/>
      <c r="I32" s="2"/>
      <c r="J32" s="2"/>
      <c r="K32" s="2"/>
      <c r="L32" s="12"/>
    </row>
    <row r="33" spans="1:12" x14ac:dyDescent="0.3">
      <c r="A33" s="7"/>
      <c r="B33" s="9"/>
      <c r="C33" s="2"/>
      <c r="D33" s="2"/>
      <c r="E33" s="2"/>
      <c r="F33" s="2"/>
      <c r="G33" s="2"/>
      <c r="H33" s="2"/>
      <c r="I33" s="2"/>
      <c r="J33" s="2"/>
      <c r="K33" s="2"/>
      <c r="L33" s="12"/>
    </row>
    <row r="34" spans="1:12" x14ac:dyDescent="0.3">
      <c r="A34" s="73" t="s">
        <v>54</v>
      </c>
      <c r="B34" s="85"/>
      <c r="C34" s="74">
        <f>C3-C13+C22-C26-C29+C31</f>
        <v>-2676048.5</v>
      </c>
      <c r="D34" s="74">
        <f>D3-D13+D22-D26-D29+D31</f>
        <v>-3005777.6437499998</v>
      </c>
      <c r="E34" s="74">
        <f t="shared" ref="E34:L34" si="3">E3-E13+E22-E26-E29+E31</f>
        <v>-2902375.1757812495</v>
      </c>
      <c r="F34" s="74">
        <f t="shared" si="3"/>
        <v>-2385652.4037109367</v>
      </c>
      <c r="G34" s="74">
        <f t="shared" si="3"/>
        <v>-2381909.1962597654</v>
      </c>
      <c r="H34" s="74">
        <f t="shared" si="3"/>
        <v>-2588590.7190541998</v>
      </c>
      <c r="I34" s="74">
        <f t="shared" si="3"/>
        <v>-1178418.1623045043</v>
      </c>
      <c r="J34" s="74">
        <f t="shared" si="3"/>
        <v>402075.70146389888</v>
      </c>
      <c r="K34" s="74">
        <f t="shared" si="3"/>
        <v>1143032.3173324056</v>
      </c>
      <c r="L34" s="75">
        <f t="shared" si="3"/>
        <v>4106680.2942972188</v>
      </c>
    </row>
    <row r="35" spans="1:12" x14ac:dyDescent="0.3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3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3">
      <c r="A37" s="70" t="s">
        <v>52</v>
      </c>
      <c r="B37" s="6"/>
      <c r="C37" s="83">
        <v>2019</v>
      </c>
      <c r="D37" s="83">
        <v>2020</v>
      </c>
      <c r="E37" s="83">
        <v>2021</v>
      </c>
      <c r="F37" s="83">
        <v>2022</v>
      </c>
      <c r="G37" s="83">
        <v>2023</v>
      </c>
      <c r="H37" s="83">
        <v>2024</v>
      </c>
      <c r="I37" s="83">
        <v>2025</v>
      </c>
      <c r="J37" s="83">
        <v>2026</v>
      </c>
      <c r="K37" s="83">
        <v>2027</v>
      </c>
      <c r="L37" s="84">
        <v>2028</v>
      </c>
    </row>
    <row r="38" spans="1:12" x14ac:dyDescent="0.3">
      <c r="A38" s="7" t="s">
        <v>46</v>
      </c>
      <c r="B38" s="9"/>
      <c r="C38" s="2"/>
      <c r="D38" s="2"/>
      <c r="E38" s="2"/>
      <c r="F38" s="2"/>
      <c r="G38" s="2"/>
      <c r="H38" s="2"/>
      <c r="I38" s="2"/>
      <c r="J38" s="2"/>
      <c r="K38" s="2"/>
      <c r="L38" s="12"/>
    </row>
    <row r="39" spans="1:12" x14ac:dyDescent="0.3">
      <c r="A39" s="7" t="s">
        <v>47</v>
      </c>
      <c r="B39" s="9"/>
      <c r="C39" s="2">
        <f>C22</f>
        <v>32600</v>
      </c>
      <c r="D39" s="2">
        <f t="shared" ref="D39:L39" si="4">D22</f>
        <v>2973392.8571428573</v>
      </c>
      <c r="E39" s="2">
        <f t="shared" si="4"/>
        <v>3419401.7857142859</v>
      </c>
      <c r="F39" s="2">
        <f t="shared" si="4"/>
        <v>3869906.5848214286</v>
      </c>
      <c r="G39" s="2">
        <f t="shared" si="4"/>
        <v>4419975.0725446418</v>
      </c>
      <c r="H39" s="2">
        <f t="shared" si="4"/>
        <v>5050177.4662388377</v>
      </c>
      <c r="I39" s="2">
        <f t="shared" si="4"/>
        <v>5707136.2267996622</v>
      </c>
      <c r="J39" s="2">
        <f t="shared" si="4"/>
        <v>6548027.1995451991</v>
      </c>
      <c r="K39" s="2">
        <f t="shared" si="4"/>
        <v>7372292.5990741448</v>
      </c>
      <c r="L39" s="12">
        <f t="shared" si="4"/>
        <v>8478136.4889352657</v>
      </c>
    </row>
    <row r="40" spans="1:12" x14ac:dyDescent="0.3">
      <c r="A40" s="7" t="s">
        <v>48</v>
      </c>
      <c r="B40" s="9"/>
      <c r="C40" s="48">
        <f>C13</f>
        <v>1119148.5</v>
      </c>
      <c r="D40" s="48">
        <f t="shared" ref="D40:L40" si="5">D13</f>
        <v>2930163.0625</v>
      </c>
      <c r="E40" s="48">
        <f t="shared" si="5"/>
        <v>3068841.1171875</v>
      </c>
      <c r="F40" s="48">
        <f t="shared" si="5"/>
        <v>3357459.7675781245</v>
      </c>
      <c r="G40" s="48">
        <f t="shared" si="5"/>
        <v>3604641.9190429687</v>
      </c>
      <c r="H40" s="48">
        <f t="shared" si="5"/>
        <v>3799736.7845166014</v>
      </c>
      <c r="I40" s="48">
        <f t="shared" si="5"/>
        <v>3918332.5743000978</v>
      </c>
      <c r="J40" s="48">
        <f t="shared" si="5"/>
        <v>4062693.1084474805</v>
      </c>
      <c r="K40" s="48">
        <f t="shared" si="5"/>
        <v>4393083.1478334209</v>
      </c>
      <c r="L40" s="49">
        <f t="shared" si="5"/>
        <v>4502225.0932712462</v>
      </c>
    </row>
    <row r="41" spans="1:12" x14ac:dyDescent="0.3">
      <c r="A41" s="7" t="s">
        <v>49</v>
      </c>
      <c r="B41" s="9"/>
      <c r="C41" s="2">
        <f>C39-C40</f>
        <v>-1086548.5</v>
      </c>
      <c r="D41" s="2">
        <f t="shared" ref="D41:L41" si="6">D39-D40</f>
        <v>43229.794642857276</v>
      </c>
      <c r="E41" s="2">
        <f t="shared" si="6"/>
        <v>350560.66852678591</v>
      </c>
      <c r="F41" s="2">
        <f t="shared" si="6"/>
        <v>512446.8172433041</v>
      </c>
      <c r="G41" s="2">
        <f t="shared" si="6"/>
        <v>815333.15350167314</v>
      </c>
      <c r="H41" s="2">
        <f t="shared" si="6"/>
        <v>1250440.6817222363</v>
      </c>
      <c r="I41" s="2">
        <f t="shared" si="6"/>
        <v>1788803.6524995645</v>
      </c>
      <c r="J41" s="2">
        <f t="shared" si="6"/>
        <v>2485334.0910977186</v>
      </c>
      <c r="K41" s="2">
        <f t="shared" si="6"/>
        <v>2979209.451240724</v>
      </c>
      <c r="L41" s="12">
        <f t="shared" si="6"/>
        <v>3975911.3956640195</v>
      </c>
    </row>
    <row r="42" spans="1:12" x14ac:dyDescent="0.3">
      <c r="A42" s="7"/>
      <c r="B42" s="9"/>
      <c r="C42" s="2"/>
      <c r="D42" s="2"/>
      <c r="E42" s="2"/>
      <c r="F42" s="2"/>
      <c r="G42" s="2"/>
      <c r="H42" s="2"/>
      <c r="I42" s="2"/>
      <c r="J42" s="2"/>
      <c r="K42" s="2"/>
      <c r="L42" s="12"/>
    </row>
    <row r="43" spans="1:12" x14ac:dyDescent="0.3">
      <c r="A43" s="7" t="s">
        <v>50</v>
      </c>
      <c r="B43" s="9"/>
      <c r="C43" s="48">
        <f>C26</f>
        <v>1589500</v>
      </c>
      <c r="D43" s="48">
        <f t="shared" ref="D43:L43" si="7">D26</f>
        <v>500000</v>
      </c>
      <c r="E43" s="48">
        <f t="shared" si="7"/>
        <v>300000</v>
      </c>
      <c r="F43" s="48">
        <f t="shared" si="7"/>
        <v>0</v>
      </c>
      <c r="G43" s="48">
        <f t="shared" si="7"/>
        <v>725000</v>
      </c>
      <c r="H43" s="48">
        <f t="shared" si="7"/>
        <v>1240000</v>
      </c>
      <c r="I43" s="48">
        <f t="shared" si="7"/>
        <v>0</v>
      </c>
      <c r="J43" s="48">
        <f t="shared" si="7"/>
        <v>300000</v>
      </c>
      <c r="K43" s="48">
        <f t="shared" si="7"/>
        <v>1525000</v>
      </c>
      <c r="L43" s="49">
        <f t="shared" si="7"/>
        <v>0</v>
      </c>
    </row>
    <row r="44" spans="1:12" x14ac:dyDescent="0.3">
      <c r="A44" s="7"/>
      <c r="B44" s="9"/>
      <c r="C44" s="48"/>
      <c r="D44" s="48"/>
      <c r="E44" s="48"/>
      <c r="F44" s="48"/>
      <c r="G44" s="48"/>
      <c r="H44" s="48"/>
      <c r="I44" s="48"/>
      <c r="J44" s="48"/>
      <c r="K44" s="48"/>
      <c r="L44" s="49"/>
    </row>
    <row r="45" spans="1:12" x14ac:dyDescent="0.3">
      <c r="A45" s="73" t="s">
        <v>53</v>
      </c>
      <c r="B45" s="32"/>
      <c r="C45" s="74">
        <f>C41-C43</f>
        <v>-2676048.5</v>
      </c>
      <c r="D45" s="74">
        <f t="shared" ref="D45:L45" si="8">D41-D43</f>
        <v>-456770.20535714272</v>
      </c>
      <c r="E45" s="74">
        <f t="shared" si="8"/>
        <v>50560.668526785914</v>
      </c>
      <c r="F45" s="74">
        <f t="shared" si="8"/>
        <v>512446.8172433041</v>
      </c>
      <c r="G45" s="74">
        <f t="shared" si="8"/>
        <v>90333.153501673136</v>
      </c>
      <c r="H45" s="74">
        <f t="shared" si="8"/>
        <v>10440.681722236332</v>
      </c>
      <c r="I45" s="74">
        <f t="shared" si="8"/>
        <v>1788803.6524995645</v>
      </c>
      <c r="J45" s="74">
        <f t="shared" si="8"/>
        <v>2185334.0910977186</v>
      </c>
      <c r="K45" s="74">
        <f t="shared" si="8"/>
        <v>1454209.451240724</v>
      </c>
      <c r="L45" s="75">
        <f t="shared" si="8"/>
        <v>3975911.3956640195</v>
      </c>
    </row>
    <row r="46" spans="1:12" x14ac:dyDescent="0.3"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3">
      <c r="A47" s="28"/>
      <c r="B47" s="4"/>
      <c r="C47" s="6"/>
    </row>
    <row r="48" spans="1:12" x14ac:dyDescent="0.3">
      <c r="A48" s="7" t="s">
        <v>51</v>
      </c>
      <c r="B48" s="137">
        <v>0.15</v>
      </c>
      <c r="C48" s="9"/>
    </row>
    <row r="49" spans="1:3" x14ac:dyDescent="0.3">
      <c r="A49" s="7"/>
      <c r="C49" s="9"/>
    </row>
    <row r="50" spans="1:3" x14ac:dyDescent="0.3">
      <c r="A50" s="71" t="s">
        <v>59</v>
      </c>
      <c r="C50" s="135">
        <f>NPV(B48,C45:L45)</f>
        <v>486309.05164033885</v>
      </c>
    </row>
    <row r="51" spans="1:3" x14ac:dyDescent="0.3">
      <c r="A51" s="7"/>
      <c r="C51" s="9"/>
    </row>
    <row r="52" spans="1:3" x14ac:dyDescent="0.3">
      <c r="A52" s="73" t="s">
        <v>60</v>
      </c>
      <c r="B52" s="14"/>
      <c r="C52" s="87">
        <f>IRR(C45:L45,2%)</f>
        <v>0.17820225668167056</v>
      </c>
    </row>
  </sheetData>
  <phoneticPr fontId="1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4"/>
  <sheetViews>
    <sheetView zoomScale="85" zoomScaleNormal="85" workbookViewId="0">
      <selection activeCell="D15" sqref="D15"/>
    </sheetView>
  </sheetViews>
  <sheetFormatPr defaultColWidth="11" defaultRowHeight="13.5" x14ac:dyDescent="0.3"/>
  <cols>
    <col min="5" max="5" width="15" bestFit="1" customWidth="1"/>
    <col min="7" max="15" width="11.3828125" bestFit="1" customWidth="1"/>
  </cols>
  <sheetData>
    <row r="1" spans="1:15" x14ac:dyDescent="0.3">
      <c r="A1" s="129" t="s">
        <v>471</v>
      </c>
    </row>
    <row r="2" spans="1:15" x14ac:dyDescent="0.3">
      <c r="A2" s="58"/>
      <c r="B2" s="79"/>
      <c r="C2" s="79"/>
      <c r="D2" s="47"/>
      <c r="E2" s="59">
        <v>2019</v>
      </c>
      <c r="F2" s="59">
        <v>2020</v>
      </c>
      <c r="G2" s="59">
        <v>2021</v>
      </c>
      <c r="H2" s="59">
        <v>2022</v>
      </c>
      <c r="I2" s="59">
        <v>2023</v>
      </c>
      <c r="J2" s="59">
        <v>2024</v>
      </c>
      <c r="K2" s="59">
        <v>2025</v>
      </c>
      <c r="L2" s="59">
        <v>2026</v>
      </c>
      <c r="M2" s="59">
        <v>2027</v>
      </c>
      <c r="N2" s="59">
        <v>2028</v>
      </c>
      <c r="O2" s="60">
        <v>2029</v>
      </c>
    </row>
    <row r="3" spans="1:15" x14ac:dyDescent="0.3">
      <c r="A3" s="7"/>
      <c r="D3" s="9"/>
      <c r="O3" s="9"/>
    </row>
    <row r="4" spans="1:15" x14ac:dyDescent="0.3">
      <c r="A4" s="50" t="s">
        <v>388</v>
      </c>
      <c r="D4" s="9"/>
      <c r="O4" s="9"/>
    </row>
    <row r="5" spans="1:15" x14ac:dyDescent="0.3">
      <c r="A5" s="50" t="s">
        <v>389</v>
      </c>
      <c r="B5" s="22" t="s">
        <v>390</v>
      </c>
      <c r="C5" s="22" t="s">
        <v>391</v>
      </c>
      <c r="D5" s="57" t="s">
        <v>395</v>
      </c>
      <c r="O5" s="9"/>
    </row>
    <row r="6" spans="1:15" x14ac:dyDescent="0.3">
      <c r="A6" s="7">
        <f>'10. Assumptions'!C128</f>
        <v>1</v>
      </c>
      <c r="B6">
        <f>'10. Assumptions'!D128</f>
        <v>1500</v>
      </c>
      <c r="C6">
        <f>B6/1</f>
        <v>1500</v>
      </c>
      <c r="D6" s="9" t="s">
        <v>173</v>
      </c>
      <c r="E6" s="142">
        <v>100</v>
      </c>
      <c r="F6" s="128">
        <f>'10. Assumptions'!F128*'8 Production planning'!D13</f>
        <v>600</v>
      </c>
      <c r="G6" s="128">
        <f>'10. Assumptions'!G128*'8 Production planning'!E13</f>
        <v>690</v>
      </c>
      <c r="H6" s="128">
        <f>'10. Assumptions'!H128*'8 Production planning'!F13</f>
        <v>661.25</v>
      </c>
      <c r="I6" s="128">
        <f>'10. Assumptions'!I128*'8 Production planning'!G13</f>
        <v>760.43749999999989</v>
      </c>
      <c r="J6" s="128">
        <f>'10. Assumptions'!J128*'8 Production planning'!H13</f>
        <v>874.50312499999973</v>
      </c>
      <c r="K6" s="128">
        <f>'10. Assumptions'!K128*'8 Production planning'!I13</f>
        <v>804.54287499999964</v>
      </c>
      <c r="L6" s="128">
        <f>'10. Assumptions'!L128*'8 Production planning'!J13</f>
        <v>925.2243062499997</v>
      </c>
      <c r="M6" s="128">
        <f>'10. Assumptions'!M128*'8 Production planning'!K13</f>
        <v>798.00596414062454</v>
      </c>
      <c r="N6" s="128">
        <f>'10. Assumptions'!N128*'8 Production planning'!L13</f>
        <v>917.70685876171808</v>
      </c>
      <c r="O6" s="130">
        <f>'10. Assumptions'!O128*'8 Production planning'!M13</f>
        <v>351.78762919199193</v>
      </c>
    </row>
    <row r="7" spans="1:15" x14ac:dyDescent="0.3">
      <c r="A7" s="7">
        <f>'10. Assumptions'!C129</f>
        <v>5</v>
      </c>
      <c r="B7">
        <f>'10. Assumptions'!D129</f>
        <v>6000</v>
      </c>
      <c r="C7">
        <f>B7/A7</f>
        <v>1200</v>
      </c>
      <c r="D7" s="9"/>
      <c r="E7" s="142">
        <v>100</v>
      </c>
      <c r="F7" s="128">
        <f>'10. Assumptions'!F129*'8 Production planning'!D13</f>
        <v>600</v>
      </c>
      <c r="G7" s="128">
        <f>'10. Assumptions'!G129*'8 Production planning'!E13</f>
        <v>690</v>
      </c>
      <c r="H7" s="128">
        <f>'10. Assumptions'!H129*'8 Production planning'!F13</f>
        <v>793.5</v>
      </c>
      <c r="I7" s="128">
        <f>'10. Assumptions'!I129*'8 Production planning'!G13</f>
        <v>760.43749999999989</v>
      </c>
      <c r="J7" s="128">
        <f>'10. Assumptions'!J129*'8 Production planning'!H13</f>
        <v>874.50312499999973</v>
      </c>
      <c r="K7" s="128">
        <f>'10. Assumptions'!K129*'8 Production planning'!I13</f>
        <v>1005.6785937499995</v>
      </c>
      <c r="L7" s="128">
        <f>'10. Assumptions'!L129*'8 Production planning'!J13</f>
        <v>1156.5303828124995</v>
      </c>
      <c r="M7" s="128">
        <f>'10. Assumptions'!M129*'8 Production planning'!K13</f>
        <v>1330.0099402343742</v>
      </c>
      <c r="N7" s="128">
        <f>'10. Assumptions'!N129*'8 Production planning'!L13</f>
        <v>1529.5114312695302</v>
      </c>
      <c r="O7" s="130">
        <f>'10. Assumptions'!O129*'8 Production planning'!M13</f>
        <v>1758.9381459599595</v>
      </c>
    </row>
    <row r="8" spans="1:15" x14ac:dyDescent="0.3">
      <c r="A8" s="7">
        <f>'10. Assumptions'!C130</f>
        <v>50</v>
      </c>
      <c r="B8">
        <f>'10. Assumptions'!D130</f>
        <v>50000</v>
      </c>
      <c r="C8">
        <f>B8/A8</f>
        <v>1000</v>
      </c>
      <c r="D8" s="9"/>
      <c r="E8" s="142">
        <v>100</v>
      </c>
      <c r="F8" s="128">
        <f>'10. Assumptions'!F130*'8 Production planning'!D13</f>
        <v>600</v>
      </c>
      <c r="G8" s="128">
        <f>'10. Assumptions'!G130*'8 Production planning'!E13</f>
        <v>690</v>
      </c>
      <c r="H8" s="128">
        <f>'10. Assumptions'!H130*'8 Production planning'!F13</f>
        <v>793.5</v>
      </c>
      <c r="I8" s="128">
        <f>'10. Assumptions'!I130*'8 Production planning'!G13</f>
        <v>1064.6124999999997</v>
      </c>
      <c r="J8" s="128">
        <f>'10. Assumptions'!J130*'8 Production planning'!H13</f>
        <v>1224.3043749999995</v>
      </c>
      <c r="K8" s="128">
        <f>'10. Assumptions'!K130*'8 Production planning'!I13</f>
        <v>1407.9500312499993</v>
      </c>
      <c r="L8" s="128">
        <f>'10. Assumptions'!L130*'8 Production planning'!J13</f>
        <v>1619.1425359374991</v>
      </c>
      <c r="M8" s="128">
        <f>'10. Assumptions'!M130*'8 Production planning'!K13</f>
        <v>2128.0159043749986</v>
      </c>
      <c r="N8" s="128">
        <f>'10. Assumptions'!N130*'8 Production planning'!L13</f>
        <v>2447.2182900312487</v>
      </c>
      <c r="O8" s="130">
        <f>'10. Assumptions'!O130*'8 Production planning'!M13</f>
        <v>3517.8762919199189</v>
      </c>
    </row>
    <row r="9" spans="1:15" x14ac:dyDescent="0.3">
      <c r="A9" s="7">
        <f>'10. Assumptions'!C131</f>
        <v>100</v>
      </c>
      <c r="B9">
        <f>'10. Assumptions'!D131</f>
        <v>100000</v>
      </c>
      <c r="C9">
        <f>B9/A9</f>
        <v>1000</v>
      </c>
      <c r="D9" s="9"/>
      <c r="E9" s="142">
        <v>100</v>
      </c>
      <c r="F9" s="128">
        <f>'10. Assumptions'!F131*'8 Production planning'!D13</f>
        <v>200</v>
      </c>
      <c r="G9" s="128">
        <f>'10. Assumptions'!G131*'8 Production planning'!E13</f>
        <v>230</v>
      </c>
      <c r="H9" s="128">
        <f>'10. Assumptions'!H131*'8 Production planning'!F13</f>
        <v>396.75</v>
      </c>
      <c r="I9" s="128">
        <f>'10. Assumptions'!I131*'8 Production planning'!G13</f>
        <v>456.26249999999993</v>
      </c>
      <c r="J9" s="128">
        <f>'10. Assumptions'!J131*'8 Production planning'!H13</f>
        <v>524.70187499999986</v>
      </c>
      <c r="K9" s="128">
        <f>'10. Assumptions'!K131*'8 Production planning'!I13</f>
        <v>804.54287499999964</v>
      </c>
      <c r="L9" s="128">
        <f>'10. Assumptions'!L131*'8 Production planning'!J13</f>
        <v>925.2243062499997</v>
      </c>
      <c r="M9" s="128">
        <f>'10. Assumptions'!M131*'8 Production planning'!K13</f>
        <v>1064.0079521874993</v>
      </c>
      <c r="N9" s="128">
        <f>'10. Assumptions'!N131*'8 Production planning'!L13</f>
        <v>1223.6091450156243</v>
      </c>
      <c r="O9" s="130">
        <f>'10. Assumptions'!O131*'8 Production planning'!M13</f>
        <v>1758.9381459599595</v>
      </c>
    </row>
    <row r="10" spans="1:15" x14ac:dyDescent="0.3">
      <c r="A10" s="7"/>
      <c r="D10" s="9"/>
      <c r="O10" s="9"/>
    </row>
    <row r="11" spans="1:15" x14ac:dyDescent="0.3">
      <c r="A11" s="7"/>
      <c r="B11" s="22" t="s">
        <v>397</v>
      </c>
      <c r="C11" s="22"/>
      <c r="D11" s="57"/>
      <c r="E11" s="51">
        <f>E6+E7+E8+E9</f>
        <v>400</v>
      </c>
      <c r="F11" s="51">
        <f>SUM(F6:F9)</f>
        <v>2000</v>
      </c>
      <c r="G11" s="51">
        <f t="shared" ref="G11:O11" si="0">SUM(G6:G9)</f>
        <v>2300</v>
      </c>
      <c r="H11" s="51">
        <f t="shared" si="0"/>
        <v>2645</v>
      </c>
      <c r="I11" s="51">
        <f t="shared" si="0"/>
        <v>3041.7499999999991</v>
      </c>
      <c r="J11" s="51">
        <f t="shared" si="0"/>
        <v>3498.0124999999989</v>
      </c>
      <c r="K11" s="51">
        <f t="shared" si="0"/>
        <v>4022.7143749999982</v>
      </c>
      <c r="L11" s="51">
        <f t="shared" si="0"/>
        <v>4626.1215312499971</v>
      </c>
      <c r="M11" s="51">
        <f t="shared" si="0"/>
        <v>5320.0397609374968</v>
      </c>
      <c r="N11" s="51">
        <f t="shared" si="0"/>
        <v>6118.045725078121</v>
      </c>
      <c r="O11" s="52">
        <f t="shared" si="0"/>
        <v>7387.5402130318289</v>
      </c>
    </row>
    <row r="12" spans="1:15" x14ac:dyDescent="0.3">
      <c r="A12" s="7"/>
      <c r="D12" s="9"/>
      <c r="O12" s="9"/>
    </row>
    <row r="13" spans="1:15" x14ac:dyDescent="0.3">
      <c r="A13" s="50" t="s">
        <v>396</v>
      </c>
      <c r="B13" s="22"/>
      <c r="C13" s="22"/>
      <c r="D13" s="9"/>
      <c r="O13" s="9"/>
    </row>
    <row r="14" spans="1:15" x14ac:dyDescent="0.3">
      <c r="A14" s="50" t="str">
        <f>A5</f>
        <v>Units kg</v>
      </c>
      <c r="B14" s="22" t="str">
        <f>B5</f>
        <v>Unit Price</v>
      </c>
      <c r="C14" s="22" t="str">
        <f>C5</f>
        <v>Price/kg</v>
      </c>
      <c r="D14" s="9"/>
      <c r="O14" s="9"/>
    </row>
    <row r="15" spans="1:15" x14ac:dyDescent="0.3">
      <c r="A15" s="7">
        <f t="shared" ref="A15:C18" si="1">A6</f>
        <v>1</v>
      </c>
      <c r="B15">
        <f t="shared" si="1"/>
        <v>1500</v>
      </c>
      <c r="C15">
        <f t="shared" si="1"/>
        <v>1500</v>
      </c>
      <c r="D15" s="9"/>
      <c r="E15" s="138">
        <v>1500</v>
      </c>
      <c r="F15" s="128">
        <f>F6*$C$6</f>
        <v>900000</v>
      </c>
      <c r="G15" s="128">
        <f t="shared" ref="G15:O15" si="2">G6*$C$6</f>
        <v>1035000</v>
      </c>
      <c r="H15" s="128">
        <f t="shared" si="2"/>
        <v>991875</v>
      </c>
      <c r="I15" s="128">
        <f t="shared" si="2"/>
        <v>1140656.2499999998</v>
      </c>
      <c r="J15" s="128">
        <f t="shared" si="2"/>
        <v>1311754.6874999995</v>
      </c>
      <c r="K15" s="128">
        <f t="shared" si="2"/>
        <v>1206814.3124999995</v>
      </c>
      <c r="L15" s="128">
        <f t="shared" si="2"/>
        <v>1387836.4593749996</v>
      </c>
      <c r="M15" s="128">
        <f t="shared" si="2"/>
        <v>1197008.9462109369</v>
      </c>
      <c r="N15" s="128">
        <f t="shared" si="2"/>
        <v>1376560.288142577</v>
      </c>
      <c r="O15" s="130">
        <f t="shared" si="2"/>
        <v>527681.44378798793</v>
      </c>
    </row>
    <row r="16" spans="1:15" x14ac:dyDescent="0.3">
      <c r="A16" s="7">
        <f t="shared" si="1"/>
        <v>5</v>
      </c>
      <c r="B16">
        <f t="shared" si="1"/>
        <v>6000</v>
      </c>
      <c r="C16">
        <f t="shared" si="1"/>
        <v>1200</v>
      </c>
      <c r="D16" s="9"/>
      <c r="E16" s="138">
        <v>1500</v>
      </c>
      <c r="F16" s="128">
        <f>F7*$C$7</f>
        <v>720000</v>
      </c>
      <c r="G16" s="128">
        <f t="shared" ref="G16:O16" si="3">G7*$C$7</f>
        <v>828000</v>
      </c>
      <c r="H16" s="128">
        <f t="shared" si="3"/>
        <v>952200</v>
      </c>
      <c r="I16" s="128">
        <f t="shared" si="3"/>
        <v>912524.99999999988</v>
      </c>
      <c r="J16" s="128">
        <f t="shared" si="3"/>
        <v>1049403.7499999998</v>
      </c>
      <c r="K16" s="128">
        <f t="shared" si="3"/>
        <v>1206814.3124999995</v>
      </c>
      <c r="L16" s="128">
        <f t="shared" si="3"/>
        <v>1387836.4593749994</v>
      </c>
      <c r="M16" s="128">
        <f t="shared" si="3"/>
        <v>1596011.928281249</v>
      </c>
      <c r="N16" s="128">
        <f t="shared" si="3"/>
        <v>1835413.7175234363</v>
      </c>
      <c r="O16" s="130">
        <f t="shared" si="3"/>
        <v>2110725.7751519512</v>
      </c>
    </row>
    <row r="17" spans="1:15" x14ac:dyDescent="0.3">
      <c r="A17" s="7">
        <f t="shared" si="1"/>
        <v>50</v>
      </c>
      <c r="B17">
        <f t="shared" si="1"/>
        <v>50000</v>
      </c>
      <c r="C17">
        <f t="shared" si="1"/>
        <v>1000</v>
      </c>
      <c r="D17" s="9"/>
      <c r="E17" s="138">
        <v>1000</v>
      </c>
      <c r="F17" s="128">
        <f>F8*$C$8</f>
        <v>600000</v>
      </c>
      <c r="G17" s="128">
        <f t="shared" ref="G17:O17" si="4">G8*$C$8</f>
        <v>690000</v>
      </c>
      <c r="H17" s="128">
        <f t="shared" si="4"/>
        <v>793500</v>
      </c>
      <c r="I17" s="128">
        <f t="shared" si="4"/>
        <v>1064612.4999999998</v>
      </c>
      <c r="J17" s="128">
        <f t="shared" si="4"/>
        <v>1224304.3749999995</v>
      </c>
      <c r="K17" s="128">
        <f t="shared" si="4"/>
        <v>1407950.0312499993</v>
      </c>
      <c r="L17" s="128">
        <f t="shared" si="4"/>
        <v>1619142.535937499</v>
      </c>
      <c r="M17" s="128">
        <f t="shared" si="4"/>
        <v>2128015.9043749985</v>
      </c>
      <c r="N17" s="128">
        <f t="shared" si="4"/>
        <v>2447218.2900312487</v>
      </c>
      <c r="O17" s="130">
        <f t="shared" si="4"/>
        <v>3517876.2919199187</v>
      </c>
    </row>
    <row r="18" spans="1:15" x14ac:dyDescent="0.3">
      <c r="A18" s="7">
        <f t="shared" si="1"/>
        <v>100</v>
      </c>
      <c r="B18">
        <f t="shared" si="1"/>
        <v>100000</v>
      </c>
      <c r="C18">
        <f t="shared" si="1"/>
        <v>1000</v>
      </c>
      <c r="D18" s="9"/>
      <c r="E18" s="138">
        <v>100</v>
      </c>
      <c r="F18" s="128">
        <f>F9*$C$9</f>
        <v>200000</v>
      </c>
      <c r="G18" s="128">
        <f t="shared" ref="G18:O18" si="5">G9*$C$9</f>
        <v>230000</v>
      </c>
      <c r="H18" s="128">
        <f t="shared" si="5"/>
        <v>396750</v>
      </c>
      <c r="I18" s="128">
        <f t="shared" si="5"/>
        <v>456262.49999999994</v>
      </c>
      <c r="J18" s="128">
        <f t="shared" si="5"/>
        <v>524701.87499999988</v>
      </c>
      <c r="K18" s="128">
        <f t="shared" si="5"/>
        <v>804542.87499999965</v>
      </c>
      <c r="L18" s="128">
        <f t="shared" si="5"/>
        <v>925224.30624999967</v>
      </c>
      <c r="M18" s="128">
        <f t="shared" si="5"/>
        <v>1064007.9521874993</v>
      </c>
      <c r="N18" s="128">
        <f t="shared" si="5"/>
        <v>1223609.1450156244</v>
      </c>
      <c r="O18" s="130">
        <f t="shared" si="5"/>
        <v>1758938.1459599594</v>
      </c>
    </row>
    <row r="19" spans="1:15" x14ac:dyDescent="0.3">
      <c r="A19" s="7"/>
      <c r="D19" s="9"/>
      <c r="F19" s="2"/>
      <c r="G19" s="2"/>
      <c r="H19" s="2"/>
      <c r="I19" s="2"/>
      <c r="J19" s="2"/>
      <c r="K19" s="2"/>
      <c r="L19" s="2"/>
      <c r="M19" s="2"/>
      <c r="N19" s="2"/>
      <c r="O19" s="12"/>
    </row>
    <row r="20" spans="1:15" x14ac:dyDescent="0.3">
      <c r="A20" s="26"/>
      <c r="B20" s="90" t="s">
        <v>398</v>
      </c>
      <c r="C20" s="90"/>
      <c r="D20" s="91"/>
      <c r="E20" s="92">
        <f>E15+E16+E17+E18</f>
        <v>4100</v>
      </c>
      <c r="F20" s="92">
        <f>SUM(F15:F18)</f>
        <v>2420000</v>
      </c>
      <c r="G20" s="92">
        <f t="shared" ref="G20:O20" si="6">SUM(G15:G18)</f>
        <v>2783000</v>
      </c>
      <c r="H20" s="92">
        <f t="shared" si="6"/>
        <v>3134325</v>
      </c>
      <c r="I20" s="92">
        <f t="shared" si="6"/>
        <v>3574056.2499999991</v>
      </c>
      <c r="J20" s="92">
        <f t="shared" si="6"/>
        <v>4110164.6874999986</v>
      </c>
      <c r="K20" s="92">
        <f t="shared" si="6"/>
        <v>4626121.5312499981</v>
      </c>
      <c r="L20" s="92">
        <f t="shared" si="6"/>
        <v>5320039.760937498</v>
      </c>
      <c r="M20" s="92">
        <f t="shared" si="6"/>
        <v>5985044.7310546841</v>
      </c>
      <c r="N20" s="92">
        <f t="shared" si="6"/>
        <v>6882801.4407128869</v>
      </c>
      <c r="O20" s="93">
        <f t="shared" si="6"/>
        <v>7915221.6568198176</v>
      </c>
    </row>
    <row r="21" spans="1:15" x14ac:dyDescent="0.3">
      <c r="A21" s="7"/>
      <c r="D21" s="9"/>
      <c r="F21" s="2"/>
      <c r="G21" s="2"/>
      <c r="H21" s="2"/>
      <c r="I21" s="2"/>
      <c r="J21" s="2"/>
      <c r="K21" s="2"/>
      <c r="L21" s="2"/>
      <c r="M21" s="2"/>
      <c r="N21" s="2"/>
      <c r="O21" s="12"/>
    </row>
    <row r="22" spans="1:15" x14ac:dyDescent="0.3">
      <c r="A22" s="50" t="s">
        <v>280</v>
      </c>
      <c r="D22" s="9"/>
      <c r="F22" s="2"/>
      <c r="G22" s="2"/>
      <c r="H22" s="2"/>
      <c r="I22" s="2"/>
      <c r="J22" s="2"/>
      <c r="K22" s="2"/>
      <c r="L22" s="2"/>
      <c r="M22" s="2"/>
      <c r="N22" s="2"/>
      <c r="O22" s="12"/>
    </row>
    <row r="23" spans="1:15" x14ac:dyDescent="0.3">
      <c r="A23" s="50" t="s">
        <v>389</v>
      </c>
      <c r="B23" s="22" t="s">
        <v>281</v>
      </c>
      <c r="C23" s="22" t="s">
        <v>391</v>
      </c>
      <c r="D23" s="57" t="s">
        <v>395</v>
      </c>
      <c r="F23" s="2"/>
      <c r="G23" s="2"/>
      <c r="H23" s="2"/>
      <c r="I23" s="2"/>
      <c r="J23" s="2"/>
      <c r="K23" s="2"/>
      <c r="L23" s="2"/>
      <c r="M23" s="2"/>
      <c r="N23" s="2"/>
      <c r="O23" s="12"/>
    </row>
    <row r="24" spans="1:15" x14ac:dyDescent="0.3">
      <c r="A24" s="7">
        <f>'10. Assumptions'!C133</f>
        <v>1</v>
      </c>
      <c r="B24">
        <f>'10. Assumptions'!D133</f>
        <v>2000</v>
      </c>
      <c r="C24">
        <f t="shared" ref="C24:C29" si="7">B24/A24</f>
        <v>2000</v>
      </c>
      <c r="D24" s="57"/>
      <c r="E24" s="142">
        <v>50</v>
      </c>
      <c r="F24" s="128">
        <f>'8 Production planning'!D30*'10. Assumptions'!F133</f>
        <v>37.5</v>
      </c>
      <c r="G24" s="128">
        <f>'8 Production planning'!E30*'10. Assumptions'!G133</f>
        <v>43.125</v>
      </c>
      <c r="H24" s="128">
        <f>'8 Production planning'!F30*'10. Assumptions'!H133</f>
        <v>37.195312499999993</v>
      </c>
      <c r="I24" s="128">
        <f>'8 Production planning'!G30*'10. Assumptions'!I133</f>
        <v>42.77460937499999</v>
      </c>
      <c r="J24" s="128">
        <f>'8 Production planning'!H30*'10. Assumptions'!J133</f>
        <v>49.190800781249983</v>
      </c>
      <c r="K24" s="128">
        <f>'8 Production planning'!I30*'10. Assumptions'!K133</f>
        <v>56.569420898437478</v>
      </c>
      <c r="L24" s="128">
        <f>'8 Production planning'!J30*'10. Assumptions'!L133</f>
        <v>65.054834033203093</v>
      </c>
      <c r="M24" s="128">
        <f>'8 Production planning'!K30*'10. Assumptions'!M133</f>
        <v>74.813059138183547</v>
      </c>
      <c r="N24" s="128">
        <f>'8 Production planning'!L30*'10. Assumptions'!N133</f>
        <v>86.035018008911067</v>
      </c>
      <c r="O24" s="130">
        <f>'8 Production planning'!M30*'10. Assumptions'!O133</f>
        <v>98.940270710247731</v>
      </c>
    </row>
    <row r="25" spans="1:15" x14ac:dyDescent="0.3">
      <c r="A25" s="7">
        <f>'10. Assumptions'!C134</f>
        <v>2</v>
      </c>
      <c r="B25">
        <f>'10. Assumptions'!D134</f>
        <v>4000</v>
      </c>
      <c r="C25">
        <f t="shared" si="7"/>
        <v>2000</v>
      </c>
      <c r="D25" s="57"/>
      <c r="E25" s="142">
        <v>50</v>
      </c>
      <c r="F25" s="128">
        <f>'8 Production planning'!D30*'10. Assumptions'!F134</f>
        <v>37.5</v>
      </c>
      <c r="G25" s="128">
        <f>'8 Production planning'!E30*'10. Assumptions'!G134</f>
        <v>43.125</v>
      </c>
      <c r="H25" s="128">
        <f>'8 Production planning'!F30*'10. Assumptions'!H134</f>
        <v>49.59375</v>
      </c>
      <c r="I25" s="128">
        <f>'8 Production planning'!G30*'10. Assumptions'!I134</f>
        <v>57.032812499999991</v>
      </c>
      <c r="J25" s="128">
        <f>'8 Production planning'!H30*'10. Assumptions'!J134</f>
        <v>49.190800781249983</v>
      </c>
      <c r="K25" s="128">
        <f>'8 Production planning'!I30*'10. Assumptions'!K134</f>
        <v>56.569420898437478</v>
      </c>
      <c r="L25" s="128">
        <f>'8 Production planning'!J30*'10. Assumptions'!L134</f>
        <v>43.369889355468736</v>
      </c>
      <c r="M25" s="128">
        <f>'8 Production planning'!K30*'10. Assumptions'!M134</f>
        <v>49.875372758789041</v>
      </c>
      <c r="N25" s="128">
        <f>'8 Production planning'!L30*'10. Assumptions'!N134</f>
        <v>57.356678672607387</v>
      </c>
      <c r="O25" s="130">
        <f>'8 Production planning'!M30*'10. Assumptions'!O134</f>
        <v>65.960180473498482</v>
      </c>
    </row>
    <row r="26" spans="1:15" x14ac:dyDescent="0.3">
      <c r="A26" s="7">
        <f>'10. Assumptions'!C135</f>
        <v>5</v>
      </c>
      <c r="B26">
        <f>'10. Assumptions'!D135</f>
        <v>10000</v>
      </c>
      <c r="C26">
        <f t="shared" si="7"/>
        <v>2000</v>
      </c>
      <c r="D26" s="57"/>
      <c r="E26" s="142">
        <v>50</v>
      </c>
      <c r="F26" s="128">
        <f>'8 Production planning'!D30*'10. Assumptions'!F135</f>
        <v>56.25</v>
      </c>
      <c r="G26" s="128">
        <f>'8 Production planning'!E30*'10. Assumptions'!G135</f>
        <v>64.6875</v>
      </c>
      <c r="H26" s="128">
        <f>'8 Production planning'!F30*'10. Assumptions'!H135</f>
        <v>74.390624999999986</v>
      </c>
      <c r="I26" s="128">
        <f>'8 Production planning'!G30*'10. Assumptions'!I135</f>
        <v>85.54921874999998</v>
      </c>
      <c r="J26" s="128">
        <f>'8 Production planning'!H30*'10. Assumptions'!J135</f>
        <v>81.984667968749974</v>
      </c>
      <c r="K26" s="128">
        <f>'8 Production planning'!I30*'10. Assumptions'!K135</f>
        <v>94.282368164062461</v>
      </c>
      <c r="L26" s="128">
        <f>'8 Production planning'!J30*'10. Assumptions'!L135</f>
        <v>86.739778710937472</v>
      </c>
      <c r="M26" s="128">
        <f>'8 Production planning'!K30*'10. Assumptions'!M135</f>
        <v>99.750745517578082</v>
      </c>
      <c r="N26" s="128">
        <f>'8 Production planning'!L30*'10. Assumptions'!N135</f>
        <v>114.71335734521477</v>
      </c>
      <c r="O26" s="130">
        <f>'8 Production planning'!M30*'10. Assumptions'!O135</f>
        <v>131.92036094699696</v>
      </c>
    </row>
    <row r="27" spans="1:15" x14ac:dyDescent="0.3">
      <c r="A27" s="7">
        <f>'10. Assumptions'!C136</f>
        <v>20</v>
      </c>
      <c r="B27">
        <f>'10. Assumptions'!D136</f>
        <v>40000</v>
      </c>
      <c r="C27">
        <f t="shared" si="7"/>
        <v>2000</v>
      </c>
      <c r="D27" s="9"/>
      <c r="E27" s="142">
        <v>50</v>
      </c>
      <c r="F27" s="128">
        <f>'8 Production planning'!D30*'10. Assumptions'!F136</f>
        <v>56.25</v>
      </c>
      <c r="G27" s="128">
        <f>'8 Production planning'!E30*'10. Assumptions'!G136</f>
        <v>64.6875</v>
      </c>
      <c r="H27" s="128">
        <f>'8 Production planning'!F30*'10. Assumptions'!H136</f>
        <v>74.390624999999986</v>
      </c>
      <c r="I27" s="128">
        <f>'8 Production planning'!G30*'10. Assumptions'!I136</f>
        <v>85.54921874999998</v>
      </c>
      <c r="J27" s="128">
        <f>'8 Production planning'!H30*'10. Assumptions'!J136</f>
        <v>114.77853515624996</v>
      </c>
      <c r="K27" s="128">
        <f>'8 Production planning'!I30*'10. Assumptions'!K136</f>
        <v>131.99531542968745</v>
      </c>
      <c r="L27" s="128">
        <f>'8 Production planning'!J30*'10. Assumptions'!L136</f>
        <v>173.47955742187494</v>
      </c>
      <c r="M27" s="128">
        <f>'8 Production planning'!K30*'10. Assumptions'!M136</f>
        <v>174.5638046557616</v>
      </c>
      <c r="N27" s="128">
        <f>'8 Production planning'!L30*'10. Assumptions'!N136</f>
        <v>200.74837535412581</v>
      </c>
      <c r="O27" s="130">
        <f>'8 Production planning'!M30*'10. Assumptions'!O136</f>
        <v>230.86063165724468</v>
      </c>
    </row>
    <row r="28" spans="1:15" x14ac:dyDescent="0.3">
      <c r="A28" s="7">
        <f>'10. Assumptions'!C137</f>
        <v>100</v>
      </c>
      <c r="B28">
        <f>'10. Assumptions'!D137</f>
        <v>130000</v>
      </c>
      <c r="C28">
        <f t="shared" si="7"/>
        <v>1300</v>
      </c>
      <c r="D28" s="9"/>
      <c r="E28" s="142">
        <v>0</v>
      </c>
      <c r="F28" s="128">
        <f>'8 Production planning'!D30*'10. Assumptions'!F137</f>
        <v>0</v>
      </c>
      <c r="G28" s="128">
        <f>'8 Production planning'!E30*'10. Assumptions'!G137</f>
        <v>0</v>
      </c>
      <c r="H28" s="128">
        <f>'8 Production planning'!F30*'10. Assumptions'!H137</f>
        <v>12.3984375</v>
      </c>
      <c r="I28" s="128">
        <f>'8 Production planning'!G30*'10. Assumptions'!I137</f>
        <v>14.258203124999998</v>
      </c>
      <c r="J28" s="128">
        <f>'8 Production planning'!H30*'10. Assumptions'!J137</f>
        <v>16.396933593749996</v>
      </c>
      <c r="K28" s="128">
        <f>'8 Production planning'!I30*'10. Assumptions'!K137</f>
        <v>18.856473632812492</v>
      </c>
      <c r="L28" s="128">
        <f>'8 Production planning'!J30*'10. Assumptions'!L137</f>
        <v>43.369889355468736</v>
      </c>
      <c r="M28" s="128">
        <f>'8 Production planning'!K30*'10. Assumptions'!M137</f>
        <v>49.875372758789041</v>
      </c>
      <c r="N28" s="128">
        <f>'8 Production planning'!L30*'10. Assumptions'!N137</f>
        <v>57.356678672607387</v>
      </c>
      <c r="O28" s="130">
        <f>'8 Production planning'!M30*'10. Assumptions'!O137</f>
        <v>65.960180473498482</v>
      </c>
    </row>
    <row r="29" spans="1:15" x14ac:dyDescent="0.3">
      <c r="A29" s="7">
        <f>'10. Assumptions'!C138</f>
        <v>200</v>
      </c>
      <c r="B29">
        <f>'10. Assumptions'!D138</f>
        <v>200000</v>
      </c>
      <c r="C29">
        <f t="shared" si="7"/>
        <v>1000</v>
      </c>
      <c r="D29" s="9"/>
      <c r="E29" s="142">
        <v>0</v>
      </c>
      <c r="F29" s="128">
        <f>'8 Production planning'!D30*'10. Assumptions'!F138</f>
        <v>0</v>
      </c>
      <c r="G29" s="128">
        <f>'8 Production planning'!E30*'10. Assumptions'!G138</f>
        <v>0</v>
      </c>
      <c r="H29" s="128">
        <f>'8 Production planning'!F30*'10. Assumptions'!H138</f>
        <v>12.3984375</v>
      </c>
      <c r="I29" s="128">
        <f>'8 Production planning'!G30*'10. Assumptions'!I138</f>
        <v>14.258203124999998</v>
      </c>
      <c r="J29" s="128">
        <f>'8 Production planning'!H30*'10. Assumptions'!J138</f>
        <v>16.396933593749996</v>
      </c>
      <c r="K29" s="128">
        <f>'8 Production planning'!I30*'10. Assumptions'!K138</f>
        <v>18.856473632812492</v>
      </c>
      <c r="L29" s="128">
        <f>'8 Production planning'!J30*'10. Assumptions'!L138</f>
        <v>21.684944677734368</v>
      </c>
      <c r="M29" s="128">
        <f>'8 Production planning'!K30*'10. Assumptions'!M138</f>
        <v>49.875372758789041</v>
      </c>
      <c r="N29" s="128">
        <f>'8 Production planning'!L30*'10. Assumptions'!N138</f>
        <v>57.356678672607387</v>
      </c>
      <c r="O29" s="130">
        <f>'8 Production planning'!M30*'10. Assumptions'!O138</f>
        <v>65.960180473498482</v>
      </c>
    </row>
    <row r="30" spans="1:15" x14ac:dyDescent="0.3">
      <c r="A30" s="7"/>
      <c r="D30" s="9"/>
      <c r="O30" s="9"/>
    </row>
    <row r="31" spans="1:15" x14ac:dyDescent="0.3">
      <c r="A31" s="50" t="s">
        <v>386</v>
      </c>
      <c r="D31" s="9"/>
      <c r="O31" s="9"/>
    </row>
    <row r="32" spans="1:15" x14ac:dyDescent="0.3">
      <c r="A32" s="7">
        <f t="shared" ref="A32:C34" si="8">A24</f>
        <v>1</v>
      </c>
      <c r="B32">
        <f t="shared" si="8"/>
        <v>2000</v>
      </c>
      <c r="C32">
        <f t="shared" si="8"/>
        <v>2000</v>
      </c>
      <c r="D32" s="9"/>
      <c r="E32" s="143">
        <v>1000</v>
      </c>
      <c r="F32" s="2">
        <f>F24*$C$32</f>
        <v>75000</v>
      </c>
      <c r="G32" s="2">
        <f t="shared" ref="G32:O32" si="9">G24*$C$32</f>
        <v>86250</v>
      </c>
      <c r="H32" s="2">
        <f t="shared" si="9"/>
        <v>74390.624999999985</v>
      </c>
      <c r="I32" s="2">
        <f t="shared" si="9"/>
        <v>85549.218749999985</v>
      </c>
      <c r="J32" s="2">
        <f t="shared" si="9"/>
        <v>98381.601562499971</v>
      </c>
      <c r="K32" s="2">
        <f t="shared" si="9"/>
        <v>113138.84179687496</v>
      </c>
      <c r="L32" s="2">
        <f t="shared" si="9"/>
        <v>130109.66806640619</v>
      </c>
      <c r="M32" s="2">
        <f t="shared" si="9"/>
        <v>149626.11827636708</v>
      </c>
      <c r="N32" s="2">
        <f t="shared" si="9"/>
        <v>172070.03601782213</v>
      </c>
      <c r="O32" s="12">
        <f t="shared" si="9"/>
        <v>197880.54142049546</v>
      </c>
    </row>
    <row r="33" spans="1:16" x14ac:dyDescent="0.3">
      <c r="A33" s="7">
        <f t="shared" si="8"/>
        <v>2</v>
      </c>
      <c r="B33">
        <f t="shared" si="8"/>
        <v>4000</v>
      </c>
      <c r="C33">
        <f t="shared" si="8"/>
        <v>2000</v>
      </c>
      <c r="D33" s="9"/>
      <c r="E33" s="142">
        <v>1000</v>
      </c>
      <c r="F33" s="2">
        <f>F25*$C$33</f>
        <v>75000</v>
      </c>
      <c r="G33" s="2">
        <f t="shared" ref="G33:O33" si="10">G25*$C$33</f>
        <v>86250</v>
      </c>
      <c r="H33" s="2">
        <f t="shared" si="10"/>
        <v>99187.5</v>
      </c>
      <c r="I33" s="2">
        <f t="shared" si="10"/>
        <v>114065.62499999999</v>
      </c>
      <c r="J33" s="2">
        <f t="shared" si="10"/>
        <v>98381.601562499971</v>
      </c>
      <c r="K33" s="2">
        <f t="shared" si="10"/>
        <v>113138.84179687496</v>
      </c>
      <c r="L33" s="2">
        <f t="shared" si="10"/>
        <v>86739.778710937477</v>
      </c>
      <c r="M33" s="2">
        <f t="shared" si="10"/>
        <v>99750.745517578078</v>
      </c>
      <c r="N33" s="2">
        <f t="shared" si="10"/>
        <v>114713.35734521477</v>
      </c>
      <c r="O33" s="12">
        <f t="shared" si="10"/>
        <v>131920.36094699695</v>
      </c>
    </row>
    <row r="34" spans="1:16" x14ac:dyDescent="0.3">
      <c r="A34" s="7">
        <f t="shared" si="8"/>
        <v>5</v>
      </c>
      <c r="B34">
        <f t="shared" si="8"/>
        <v>10000</v>
      </c>
      <c r="C34">
        <f t="shared" si="8"/>
        <v>2000</v>
      </c>
      <c r="D34" s="9"/>
      <c r="E34" s="142">
        <v>1000</v>
      </c>
      <c r="F34" s="2">
        <f>F26*$C$34</f>
        <v>112500</v>
      </c>
      <c r="G34" s="2">
        <f t="shared" ref="G34:O34" si="11">G26*$C$34</f>
        <v>129375</v>
      </c>
      <c r="H34" s="2">
        <f t="shared" si="11"/>
        <v>148781.24999999997</v>
      </c>
      <c r="I34" s="2">
        <f t="shared" si="11"/>
        <v>171098.43749999997</v>
      </c>
      <c r="J34" s="2">
        <f t="shared" si="11"/>
        <v>163969.33593749994</v>
      </c>
      <c r="K34" s="2">
        <f t="shared" si="11"/>
        <v>188564.73632812491</v>
      </c>
      <c r="L34" s="2">
        <f t="shared" si="11"/>
        <v>173479.55742187495</v>
      </c>
      <c r="M34" s="2">
        <f t="shared" si="11"/>
        <v>199501.49103515616</v>
      </c>
      <c r="N34" s="2">
        <f t="shared" si="11"/>
        <v>229426.71469042954</v>
      </c>
      <c r="O34" s="12">
        <f t="shared" si="11"/>
        <v>263840.7218939939</v>
      </c>
    </row>
    <row r="35" spans="1:16" x14ac:dyDescent="0.3">
      <c r="A35" s="7">
        <f>A27</f>
        <v>20</v>
      </c>
      <c r="B35">
        <f>B27</f>
        <v>40000</v>
      </c>
      <c r="C35">
        <f>C27</f>
        <v>2000</v>
      </c>
      <c r="D35" s="9"/>
      <c r="E35" s="138">
        <v>1000</v>
      </c>
      <c r="F35" s="2">
        <f>F27*$C$35</f>
        <v>112500</v>
      </c>
      <c r="G35" s="2">
        <f t="shared" ref="G35:O35" si="12">G27*$C$35</f>
        <v>129375</v>
      </c>
      <c r="H35" s="2">
        <f t="shared" si="12"/>
        <v>148781.24999999997</v>
      </c>
      <c r="I35" s="2">
        <f t="shared" si="12"/>
        <v>171098.43749999997</v>
      </c>
      <c r="J35" s="2">
        <f t="shared" si="12"/>
        <v>229557.07031249991</v>
      </c>
      <c r="K35" s="2">
        <f t="shared" si="12"/>
        <v>263990.63085937488</v>
      </c>
      <c r="L35" s="2">
        <f t="shared" si="12"/>
        <v>346959.11484374991</v>
      </c>
      <c r="M35" s="2">
        <f t="shared" si="12"/>
        <v>349127.60931152321</v>
      </c>
      <c r="N35" s="2">
        <f t="shared" si="12"/>
        <v>401496.75070825161</v>
      </c>
      <c r="O35" s="12">
        <f t="shared" si="12"/>
        <v>461721.26331448939</v>
      </c>
      <c r="P35" s="2"/>
    </row>
    <row r="36" spans="1:16" x14ac:dyDescent="0.3">
      <c r="A36" s="7">
        <f t="shared" ref="A36:C37" si="13">A28</f>
        <v>100</v>
      </c>
      <c r="B36">
        <f t="shared" si="13"/>
        <v>130000</v>
      </c>
      <c r="C36">
        <f t="shared" si="13"/>
        <v>1300</v>
      </c>
      <c r="D36" s="9"/>
      <c r="E36" s="142">
        <v>0</v>
      </c>
      <c r="F36" s="2">
        <f>F28*$C$36</f>
        <v>0</v>
      </c>
      <c r="G36" s="2">
        <f t="shared" ref="G36:O36" si="14">G28*$C$36</f>
        <v>0</v>
      </c>
      <c r="H36" s="2">
        <f t="shared" si="14"/>
        <v>16117.96875</v>
      </c>
      <c r="I36" s="2">
        <f t="shared" si="14"/>
        <v>18535.664062499996</v>
      </c>
      <c r="J36" s="2">
        <f t="shared" si="14"/>
        <v>21316.013671874993</v>
      </c>
      <c r="K36" s="2">
        <f t="shared" si="14"/>
        <v>24513.415722656238</v>
      </c>
      <c r="L36" s="2">
        <f t="shared" si="14"/>
        <v>56380.856162109354</v>
      </c>
      <c r="M36" s="2">
        <f t="shared" si="14"/>
        <v>64837.984586425751</v>
      </c>
      <c r="N36" s="2">
        <f t="shared" si="14"/>
        <v>74563.682274389605</v>
      </c>
      <c r="O36" s="12">
        <f t="shared" si="14"/>
        <v>85748.234615548034</v>
      </c>
      <c r="P36" s="2"/>
    </row>
    <row r="37" spans="1:16" x14ac:dyDescent="0.3">
      <c r="A37" s="7">
        <f t="shared" si="13"/>
        <v>200</v>
      </c>
      <c r="B37">
        <f t="shared" si="13"/>
        <v>200000</v>
      </c>
      <c r="C37">
        <f t="shared" si="13"/>
        <v>1000</v>
      </c>
      <c r="D37" s="9"/>
      <c r="E37" s="142">
        <v>0</v>
      </c>
      <c r="F37" s="2">
        <f>F29*$C$37</f>
        <v>0</v>
      </c>
      <c r="G37" s="2">
        <f t="shared" ref="G37:O37" si="15">G29*$C$37</f>
        <v>0</v>
      </c>
      <c r="H37" s="2">
        <f t="shared" si="15"/>
        <v>12398.4375</v>
      </c>
      <c r="I37" s="2">
        <f t="shared" si="15"/>
        <v>14258.203124999998</v>
      </c>
      <c r="J37" s="2">
        <f t="shared" si="15"/>
        <v>16396.933593749996</v>
      </c>
      <c r="K37" s="2">
        <f t="shared" si="15"/>
        <v>18856.473632812493</v>
      </c>
      <c r="L37" s="2">
        <f t="shared" si="15"/>
        <v>21684.944677734369</v>
      </c>
      <c r="M37" s="2">
        <f t="shared" si="15"/>
        <v>49875.372758789039</v>
      </c>
      <c r="N37" s="2">
        <f t="shared" si="15"/>
        <v>57356.678672607384</v>
      </c>
      <c r="O37" s="12">
        <f t="shared" si="15"/>
        <v>65960.180473498476</v>
      </c>
      <c r="P37" s="2"/>
    </row>
    <row r="38" spans="1:16" x14ac:dyDescent="0.3">
      <c r="A38" s="7"/>
      <c r="D38" s="9"/>
      <c r="F38" s="2"/>
      <c r="G38" s="2"/>
      <c r="H38" s="2"/>
      <c r="I38" s="2"/>
      <c r="J38" s="2"/>
      <c r="K38" s="2"/>
      <c r="L38" s="2"/>
      <c r="M38" s="2"/>
      <c r="N38" s="2"/>
      <c r="O38" s="12"/>
      <c r="P38" s="2"/>
    </row>
    <row r="39" spans="1:16" x14ac:dyDescent="0.3">
      <c r="A39" s="26"/>
      <c r="B39" s="90" t="s">
        <v>282</v>
      </c>
      <c r="C39" s="90"/>
      <c r="D39" s="91"/>
      <c r="E39" s="120">
        <f>E32+E33+E34+E35+E36+E37</f>
        <v>4000</v>
      </c>
      <c r="F39" s="92">
        <f>SUM(F32:F37)</f>
        <v>375000</v>
      </c>
      <c r="G39" s="92">
        <f t="shared" ref="G39:O39" si="16">SUM(G32:G37)</f>
        <v>431250</v>
      </c>
      <c r="H39" s="92">
        <f t="shared" si="16"/>
        <v>499657.03125</v>
      </c>
      <c r="I39" s="92">
        <f t="shared" si="16"/>
        <v>574605.58593749988</v>
      </c>
      <c r="J39" s="92">
        <f t="shared" si="16"/>
        <v>628002.55664062477</v>
      </c>
      <c r="K39" s="92">
        <f t="shared" si="16"/>
        <v>722202.94013671856</v>
      </c>
      <c r="L39" s="92">
        <f t="shared" si="16"/>
        <v>815353.91988281219</v>
      </c>
      <c r="M39" s="92">
        <f t="shared" si="16"/>
        <v>912719.3214858392</v>
      </c>
      <c r="N39" s="92">
        <f t="shared" si="16"/>
        <v>1049627.2197087149</v>
      </c>
      <c r="O39" s="92">
        <f t="shared" si="16"/>
        <v>1207071.3026650222</v>
      </c>
      <c r="P39" s="2"/>
    </row>
    <row r="40" spans="1:16" x14ac:dyDescent="0.3">
      <c r="A40" s="7"/>
      <c r="D40" s="9"/>
      <c r="O40" s="9"/>
    </row>
    <row r="41" spans="1:16" x14ac:dyDescent="0.3">
      <c r="A41" s="50" t="s">
        <v>387</v>
      </c>
      <c r="B41" s="22"/>
      <c r="C41" s="22"/>
      <c r="D41" s="57"/>
      <c r="O41" s="9"/>
    </row>
    <row r="42" spans="1:16" x14ac:dyDescent="0.3">
      <c r="A42" s="50" t="s">
        <v>389</v>
      </c>
      <c r="B42" s="22" t="s">
        <v>390</v>
      </c>
      <c r="C42" s="22" t="s">
        <v>391</v>
      </c>
      <c r="D42" s="57" t="s">
        <v>395</v>
      </c>
      <c r="E42" s="138">
        <v>500</v>
      </c>
      <c r="F42" s="2">
        <f>'8 Production planning'!D32</f>
        <v>3562.5</v>
      </c>
      <c r="G42" s="2">
        <f>'8 Production planning'!E32</f>
        <v>4096.875</v>
      </c>
      <c r="H42" s="2">
        <f>'8 Production planning'!F32</f>
        <v>4711.4062499999991</v>
      </c>
      <c r="I42" s="2">
        <f>'8 Production planning'!G32</f>
        <v>5418.1171874999982</v>
      </c>
      <c r="J42" s="2">
        <f>'8 Production planning'!H32</f>
        <v>6230.8347656249971</v>
      </c>
      <c r="K42" s="2">
        <f>'8 Production planning'!I32</f>
        <v>7165.4599804687459</v>
      </c>
      <c r="L42" s="2">
        <f>'8 Production planning'!J32</f>
        <v>8240.2789775390593</v>
      </c>
      <c r="M42" s="2">
        <f>'8 Production planning'!K32</f>
        <v>9476.3208241699176</v>
      </c>
      <c r="N42" s="2">
        <f>'8 Production planning'!L32</f>
        <v>10897.768947795401</v>
      </c>
      <c r="O42" s="12">
        <f>'8 Production planning'!M32</f>
        <v>12532.434289964711</v>
      </c>
    </row>
    <row r="43" spans="1:16" x14ac:dyDescent="0.3">
      <c r="A43" s="7">
        <f>'10. Assumptions'!C143</f>
        <v>50</v>
      </c>
      <c r="B43">
        <f>'10. Assumptions'!D143</f>
        <v>1000</v>
      </c>
      <c r="C43" s="21">
        <f>B43/A43</f>
        <v>20</v>
      </c>
      <c r="D43" s="9"/>
      <c r="O43" s="9"/>
    </row>
    <row r="44" spans="1:16" x14ac:dyDescent="0.3">
      <c r="A44" s="7"/>
      <c r="D44" s="9"/>
      <c r="O44" s="9"/>
    </row>
    <row r="45" spans="1:16" x14ac:dyDescent="0.3">
      <c r="A45" s="94" t="s">
        <v>283</v>
      </c>
      <c r="B45" s="90"/>
      <c r="C45" s="90"/>
      <c r="D45" s="91"/>
      <c r="E45" s="121">
        <f>E42*20</f>
        <v>10000</v>
      </c>
      <c r="F45" s="92">
        <f>F42*$C$43</f>
        <v>71250</v>
      </c>
      <c r="G45" s="92">
        <f t="shared" ref="G45:O45" si="17">G42*$C$43</f>
        <v>81937.5</v>
      </c>
      <c r="H45" s="92">
        <f t="shared" si="17"/>
        <v>94228.124999999985</v>
      </c>
      <c r="I45" s="92">
        <f t="shared" si="17"/>
        <v>108362.34374999997</v>
      </c>
      <c r="J45" s="92">
        <f t="shared" si="17"/>
        <v>124616.69531249994</v>
      </c>
      <c r="K45" s="92">
        <f t="shared" si="17"/>
        <v>143309.19960937492</v>
      </c>
      <c r="L45" s="92">
        <f t="shared" si="17"/>
        <v>164805.57955078117</v>
      </c>
      <c r="M45" s="92">
        <f t="shared" si="17"/>
        <v>189526.41648339835</v>
      </c>
      <c r="N45" s="92">
        <f t="shared" si="17"/>
        <v>217955.378955908</v>
      </c>
      <c r="O45" s="93">
        <f t="shared" si="17"/>
        <v>250648.68579929421</v>
      </c>
    </row>
    <row r="46" spans="1:16" x14ac:dyDescent="0.3">
      <c r="A46" s="7"/>
      <c r="D46" s="9"/>
      <c r="O46" s="9"/>
    </row>
    <row r="47" spans="1:16" x14ac:dyDescent="0.3">
      <c r="A47" s="31" t="s">
        <v>344</v>
      </c>
      <c r="D47" s="9"/>
      <c r="O47" s="9"/>
    </row>
    <row r="48" spans="1:16" x14ac:dyDescent="0.3">
      <c r="A48" s="71" t="s">
        <v>61</v>
      </c>
      <c r="B48" s="64" t="s">
        <v>62</v>
      </c>
      <c r="C48" s="64" t="s">
        <v>63</v>
      </c>
      <c r="D48" s="86" t="s">
        <v>64</v>
      </c>
      <c r="E48" s="143">
        <v>500</v>
      </c>
      <c r="F48" s="2">
        <f>'8 Production planning'!D21</f>
        <v>3750</v>
      </c>
      <c r="G48" s="2">
        <f>'8 Production planning'!E21</f>
        <v>4312.5</v>
      </c>
      <c r="H48" s="2">
        <f>'8 Production planning'!F21</f>
        <v>4959.3749999999991</v>
      </c>
      <c r="I48" s="2">
        <f>'8 Production planning'!G21</f>
        <v>5703.2812499999982</v>
      </c>
      <c r="J48" s="2">
        <f>'8 Production planning'!H21</f>
        <v>6558.7734374999973</v>
      </c>
      <c r="K48" s="2">
        <f>'8 Production planning'!I21</f>
        <v>7542.589453124996</v>
      </c>
      <c r="L48" s="2">
        <f>'8 Production planning'!J21</f>
        <v>8673.9778710937462</v>
      </c>
      <c r="M48" s="2">
        <f>'8 Production planning'!K21</f>
        <v>9975.0745517578071</v>
      </c>
      <c r="N48" s="2">
        <f>'8 Production planning'!L21</f>
        <v>11471.335734521475</v>
      </c>
      <c r="O48" s="12">
        <f>'8 Production planning'!M21</f>
        <v>13192.036094699695</v>
      </c>
    </row>
    <row r="49" spans="1:15" x14ac:dyDescent="0.3">
      <c r="A49" s="7">
        <f>'10. Assumptions'!C141</f>
        <v>35</v>
      </c>
      <c r="B49">
        <f>'10. Assumptions'!D141</f>
        <v>1000</v>
      </c>
      <c r="C49" s="2">
        <f>B49/A49</f>
        <v>28.571428571428573</v>
      </c>
      <c r="D49" s="9"/>
      <c r="F49" s="2"/>
      <c r="G49" s="2"/>
      <c r="H49" s="2"/>
      <c r="I49" s="2"/>
      <c r="J49" s="2"/>
      <c r="K49" s="2"/>
      <c r="L49" s="2"/>
      <c r="M49" s="2"/>
      <c r="N49" s="2"/>
      <c r="O49" s="12"/>
    </row>
    <row r="50" spans="1:15" x14ac:dyDescent="0.3">
      <c r="A50" s="7"/>
      <c r="D50" s="9"/>
      <c r="O50" s="9"/>
    </row>
    <row r="51" spans="1:15" x14ac:dyDescent="0.3">
      <c r="A51" s="31" t="s">
        <v>344</v>
      </c>
      <c r="B51" s="116"/>
      <c r="C51" s="14"/>
      <c r="D51" s="32"/>
      <c r="E51" s="122">
        <f>E48*29</f>
        <v>14500</v>
      </c>
      <c r="F51" s="39">
        <f>F48*$C$49</f>
        <v>107142.85714285714</v>
      </c>
      <c r="G51" s="39">
        <f t="shared" ref="G51:O51" si="18">G48*$C$49</f>
        <v>123214.28571428572</v>
      </c>
      <c r="H51" s="39">
        <f t="shared" si="18"/>
        <v>141696.42857142855</v>
      </c>
      <c r="I51" s="39">
        <f t="shared" si="18"/>
        <v>162950.89285714281</v>
      </c>
      <c r="J51" s="39">
        <f t="shared" si="18"/>
        <v>187393.52678571423</v>
      </c>
      <c r="K51" s="39">
        <f t="shared" si="18"/>
        <v>215502.55580357133</v>
      </c>
      <c r="L51" s="39">
        <f t="shared" si="18"/>
        <v>247827.93917410704</v>
      </c>
      <c r="M51" s="39">
        <f t="shared" si="18"/>
        <v>285002.13005022309</v>
      </c>
      <c r="N51" s="39">
        <f t="shared" si="18"/>
        <v>327752.44955775648</v>
      </c>
      <c r="O51" s="40">
        <f t="shared" si="18"/>
        <v>376915.31699141988</v>
      </c>
    </row>
    <row r="52" spans="1:15" x14ac:dyDescent="0.3">
      <c r="A52" s="4"/>
      <c r="B52" s="4"/>
      <c r="C52" s="4"/>
      <c r="D52" s="6"/>
      <c r="E52" s="4"/>
      <c r="F52" s="4"/>
      <c r="G52" s="4"/>
      <c r="H52" s="4"/>
      <c r="I52" s="4"/>
      <c r="J52" s="4"/>
      <c r="K52" s="4"/>
      <c r="L52" s="4"/>
      <c r="M52" s="4"/>
      <c r="N52" s="4"/>
      <c r="O52" s="6"/>
    </row>
    <row r="53" spans="1:15" x14ac:dyDescent="0.3">
      <c r="A53" s="116"/>
      <c r="B53" s="116"/>
      <c r="C53" s="116"/>
      <c r="D53" s="9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9"/>
    </row>
    <row r="54" spans="1:15" x14ac:dyDescent="0.3">
      <c r="A54" s="119" t="s">
        <v>465</v>
      </c>
      <c r="B54" s="26"/>
      <c r="C54" s="14"/>
      <c r="D54" s="32"/>
      <c r="E54" s="122">
        <f t="shared" ref="E54:O54" si="19">E20+E39+E45+E51</f>
        <v>32600</v>
      </c>
      <c r="F54" s="117">
        <f t="shared" si="19"/>
        <v>2973392.8571428573</v>
      </c>
      <c r="G54" s="117">
        <f t="shared" si="19"/>
        <v>3419401.7857142859</v>
      </c>
      <c r="H54" s="117">
        <f t="shared" si="19"/>
        <v>3869906.5848214286</v>
      </c>
      <c r="I54" s="117">
        <f t="shared" si="19"/>
        <v>4419975.0725446418</v>
      </c>
      <c r="J54" s="117">
        <f t="shared" si="19"/>
        <v>5050177.4662388377</v>
      </c>
      <c r="K54" s="117">
        <f t="shared" si="19"/>
        <v>5707136.2267996622</v>
      </c>
      <c r="L54" s="117">
        <f t="shared" si="19"/>
        <v>6548027.1995451991</v>
      </c>
      <c r="M54" s="117">
        <f t="shared" si="19"/>
        <v>7372292.5990741448</v>
      </c>
      <c r="N54" s="117">
        <f t="shared" si="19"/>
        <v>8478136.4889352657</v>
      </c>
      <c r="O54" s="118">
        <f t="shared" si="19"/>
        <v>9749856.9622755554</v>
      </c>
    </row>
  </sheetData>
  <phoneticPr fontId="12" type="noConversion"/>
  <pageMargins left="0.75" right="0.75" top="1" bottom="1" header="0.5" footer="0.5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"/>
  <sheetViews>
    <sheetView workbookViewId="0">
      <selection activeCell="C5" sqref="C5"/>
    </sheetView>
  </sheetViews>
  <sheetFormatPr defaultColWidth="11" defaultRowHeight="13.5" x14ac:dyDescent="0.3"/>
  <cols>
    <col min="1" max="1" width="19.84375" customWidth="1"/>
  </cols>
  <sheetData>
    <row r="1" spans="1:13" x14ac:dyDescent="0.3">
      <c r="A1" s="129" t="s">
        <v>472</v>
      </c>
    </row>
    <row r="3" spans="1:13" x14ac:dyDescent="0.3">
      <c r="A3" s="28"/>
      <c r="B3" s="6"/>
      <c r="C3" s="29">
        <v>2019</v>
      </c>
      <c r="D3" s="29">
        <v>2020</v>
      </c>
      <c r="E3" s="29">
        <v>2021</v>
      </c>
      <c r="F3" s="29">
        <v>2022</v>
      </c>
      <c r="G3" s="29">
        <v>2023</v>
      </c>
      <c r="H3" s="29">
        <v>2024</v>
      </c>
      <c r="I3" s="29">
        <v>2025</v>
      </c>
      <c r="J3" s="29">
        <v>2026</v>
      </c>
      <c r="K3" s="29">
        <v>2027</v>
      </c>
      <c r="L3" s="30">
        <v>2028</v>
      </c>
      <c r="M3" t="s">
        <v>443</v>
      </c>
    </row>
    <row r="4" spans="1:13" x14ac:dyDescent="0.3">
      <c r="A4" s="26"/>
      <c r="B4" s="32"/>
      <c r="C4" s="14"/>
      <c r="D4" s="14"/>
      <c r="E4" s="14"/>
      <c r="F4" s="14"/>
      <c r="G4" s="14"/>
      <c r="H4" s="14"/>
      <c r="I4" s="14"/>
      <c r="J4" s="14"/>
      <c r="K4" s="14"/>
      <c r="L4" s="32"/>
    </row>
    <row r="5" spans="1:13" x14ac:dyDescent="0.3">
      <c r="A5" s="42" t="str">
        <f>'10. Assumptions'!B169</f>
        <v>Kenya Market study</v>
      </c>
      <c r="B5" s="47"/>
      <c r="C5" s="44">
        <f>'10. Assumptions'!$D$169*'10. Assumptions'!G169</f>
        <v>50000</v>
      </c>
      <c r="D5" s="44">
        <f>'10. Assumptions'!$D$169*'10. Assumptions'!H169</f>
        <v>0</v>
      </c>
      <c r="E5" s="44">
        <f>'10. Assumptions'!$D$169*'10. Assumptions'!I169</f>
        <v>0</v>
      </c>
      <c r="F5" s="44">
        <f>'10. Assumptions'!$D$169*'10. Assumptions'!J169</f>
        <v>0</v>
      </c>
      <c r="G5" s="44">
        <f>'10. Assumptions'!$D$169*'10. Assumptions'!K169</f>
        <v>0</v>
      </c>
      <c r="H5" s="44">
        <f>'10. Assumptions'!$D$169*'10. Assumptions'!L169</f>
        <v>0</v>
      </c>
      <c r="I5" s="44">
        <f>'10. Assumptions'!$D$169*'10. Assumptions'!M169</f>
        <v>50000</v>
      </c>
      <c r="J5" s="44">
        <f>'10. Assumptions'!$D$169*'10. Assumptions'!N169</f>
        <v>0</v>
      </c>
      <c r="K5" s="44">
        <f>'10. Assumptions'!$D$169*'10. Assumptions'!O169</f>
        <v>0</v>
      </c>
      <c r="L5" s="45">
        <f>'10. Assumptions'!$D$169*'10. Assumptions'!P169</f>
        <v>0</v>
      </c>
    </row>
    <row r="6" spans="1:13" x14ac:dyDescent="0.3">
      <c r="A6" s="31"/>
      <c r="B6" s="9"/>
      <c r="C6" s="2"/>
      <c r="D6" s="2"/>
      <c r="E6" s="2"/>
      <c r="F6" s="2"/>
      <c r="G6" s="2"/>
      <c r="H6" s="2"/>
      <c r="I6" s="2"/>
      <c r="J6" s="2"/>
      <c r="K6" s="2"/>
      <c r="L6" s="12"/>
    </row>
    <row r="7" spans="1:13" x14ac:dyDescent="0.3">
      <c r="A7" s="31" t="s">
        <v>444</v>
      </c>
      <c r="B7" s="9"/>
      <c r="C7" s="2"/>
      <c r="D7" s="2"/>
      <c r="E7" s="2"/>
      <c r="F7" s="2"/>
      <c r="G7" s="2"/>
      <c r="H7" s="2"/>
      <c r="I7" s="2"/>
      <c r="J7" s="2"/>
      <c r="K7" s="2"/>
      <c r="L7" s="12"/>
    </row>
    <row r="8" spans="1:13" x14ac:dyDescent="0.3">
      <c r="A8" s="7" t="str">
        <f>'10. Assumptions'!B171</f>
        <v>Kenya Trade Fair attendance - with stand</v>
      </c>
      <c r="B8" s="9"/>
      <c r="C8" s="2">
        <f>'10. Assumptions'!$D$171*'10. Assumptions'!G171</f>
        <v>0</v>
      </c>
      <c r="D8" s="2">
        <f>'10. Assumptions'!$D$171*'10. Assumptions'!H171</f>
        <v>50000</v>
      </c>
      <c r="E8" s="2">
        <f>'10. Assumptions'!$D$171*'10. Assumptions'!I171</f>
        <v>50000</v>
      </c>
      <c r="F8" s="2">
        <f>'10. Assumptions'!$D$171*'10. Assumptions'!J171</f>
        <v>100000</v>
      </c>
      <c r="G8" s="2">
        <f>'10. Assumptions'!$D$171*'10. Assumptions'!K171</f>
        <v>100000</v>
      </c>
      <c r="H8" s="2">
        <f>'10. Assumptions'!$D$171*'10. Assumptions'!L171</f>
        <v>150000</v>
      </c>
      <c r="I8" s="2">
        <f>'10. Assumptions'!$D$171*'10. Assumptions'!M171</f>
        <v>150000</v>
      </c>
      <c r="J8" s="2">
        <f>'10. Assumptions'!$D$171*'10. Assumptions'!N171</f>
        <v>150000</v>
      </c>
      <c r="K8" s="2">
        <f>'10. Assumptions'!$D$171*'10. Assumptions'!O171</f>
        <v>200000</v>
      </c>
      <c r="L8" s="12">
        <f>'10. Assumptions'!$D$171*'10. Assumptions'!P171</f>
        <v>200000</v>
      </c>
    </row>
    <row r="9" spans="1:13" x14ac:dyDescent="0.3">
      <c r="A9" s="7" t="str">
        <f>'10. Assumptions'!B172</f>
        <v>Kenya Trade Fair attendance - observing</v>
      </c>
      <c r="B9" s="9"/>
      <c r="C9" s="48">
        <f>'10. Assumptions'!$D$172*'10. Assumptions'!G172</f>
        <v>20000</v>
      </c>
      <c r="D9" s="48">
        <f>'10. Assumptions'!$D$172*'10. Assumptions'!H172</f>
        <v>20000</v>
      </c>
      <c r="E9" s="48">
        <f>'10. Assumptions'!$D$172*'10. Assumptions'!I172</f>
        <v>30000</v>
      </c>
      <c r="F9" s="48">
        <f>'10. Assumptions'!$D$172*'10. Assumptions'!J172</f>
        <v>30000</v>
      </c>
      <c r="G9" s="48">
        <f>'10. Assumptions'!$D$172*'10. Assumptions'!K172</f>
        <v>40000</v>
      </c>
      <c r="H9" s="48">
        <f>'10. Assumptions'!$D$172*'10. Assumptions'!L172</f>
        <v>40000</v>
      </c>
      <c r="I9" s="48">
        <f>'10. Assumptions'!$D$172*'10. Assumptions'!M172</f>
        <v>40000</v>
      </c>
      <c r="J9" s="48">
        <f>'10. Assumptions'!$D$172*'10. Assumptions'!N172</f>
        <v>50000</v>
      </c>
      <c r="K9" s="48">
        <f>'10. Assumptions'!$D$172*'10. Assumptions'!O172</f>
        <v>50000</v>
      </c>
      <c r="L9" s="49">
        <f>'10. Assumptions'!$D$172*'10. Assumptions'!P172</f>
        <v>60000</v>
      </c>
    </row>
    <row r="10" spans="1:13" x14ac:dyDescent="0.3">
      <c r="A10" s="36" t="s">
        <v>285</v>
      </c>
      <c r="B10" s="32"/>
      <c r="C10" s="39">
        <f>SUM(C8:C9)</f>
        <v>20000</v>
      </c>
      <c r="D10" s="39">
        <f t="shared" ref="D10:L10" si="0">SUM(D8:D9)</f>
        <v>70000</v>
      </c>
      <c r="E10" s="39">
        <f t="shared" si="0"/>
        <v>80000</v>
      </c>
      <c r="F10" s="39">
        <f t="shared" si="0"/>
        <v>130000</v>
      </c>
      <c r="G10" s="39">
        <f t="shared" si="0"/>
        <v>140000</v>
      </c>
      <c r="H10" s="39">
        <f t="shared" si="0"/>
        <v>190000</v>
      </c>
      <c r="I10" s="39">
        <f t="shared" si="0"/>
        <v>190000</v>
      </c>
      <c r="J10" s="39">
        <f t="shared" si="0"/>
        <v>200000</v>
      </c>
      <c r="K10" s="39">
        <f t="shared" si="0"/>
        <v>250000</v>
      </c>
      <c r="L10" s="40">
        <f t="shared" si="0"/>
        <v>260000</v>
      </c>
    </row>
    <row r="11" spans="1:13" x14ac:dyDescent="0.3">
      <c r="A11" s="7"/>
      <c r="B11" s="9"/>
      <c r="C11" s="2"/>
      <c r="D11" s="2"/>
      <c r="E11" s="2"/>
      <c r="F11" s="2"/>
      <c r="G11" s="2"/>
      <c r="H11" s="2"/>
      <c r="I11" s="2"/>
      <c r="J11" s="2"/>
      <c r="K11" s="2"/>
      <c r="L11" s="12"/>
    </row>
    <row r="12" spans="1:13" x14ac:dyDescent="0.3">
      <c r="A12" s="7" t="str">
        <f>'10. Assumptions'!B174</f>
        <v>Promotional material</v>
      </c>
      <c r="B12" s="9"/>
      <c r="C12" s="2"/>
      <c r="D12" s="2"/>
      <c r="E12" s="2"/>
      <c r="F12" s="2"/>
      <c r="G12" s="2"/>
      <c r="H12" s="2"/>
      <c r="I12" s="2"/>
      <c r="J12" s="2"/>
      <c r="K12" s="2"/>
      <c r="L12" s="12"/>
    </row>
    <row r="13" spans="1:13" x14ac:dyDescent="0.3">
      <c r="A13" s="7" t="str">
        <f>'10. Assumptions'!B175</f>
        <v>Baobab Powder Sales</v>
      </c>
      <c r="B13" s="9"/>
      <c r="C13" s="2">
        <f>'10. Assumptions'!$D$175*'10. Assumptions'!G175*'4. Revenues'!F20</f>
        <v>12100</v>
      </c>
      <c r="D13" s="2">
        <f>'10. Assumptions'!$D$175*'10. Assumptions'!H175*'4. Revenues'!G20</f>
        <v>27830</v>
      </c>
      <c r="E13" s="2">
        <f>'10. Assumptions'!$D$175*'10. Assumptions'!I175*'4. Revenues'!H20</f>
        <v>31343.25</v>
      </c>
      <c r="F13" s="2">
        <f>'10. Assumptions'!$D$175*'10. Assumptions'!J175*'4. Revenues'!I20</f>
        <v>35740.562499999993</v>
      </c>
      <c r="G13" s="2">
        <f>'10. Assumptions'!$D$175*'10. Assumptions'!K175*'4. Revenues'!J20</f>
        <v>41101.646874999984</v>
      </c>
      <c r="H13" s="2">
        <f>'10. Assumptions'!$D$175*'10. Assumptions'!L175*'4. Revenues'!K20</f>
        <v>46261.215312499982</v>
      </c>
      <c r="I13" s="2">
        <f>'10. Assumptions'!$D$175*'10. Assumptions'!M175*'4. Revenues'!L20</f>
        <v>53200.397609374981</v>
      </c>
      <c r="J13" s="2">
        <f>'10. Assumptions'!$D$175*'10. Assumptions'!N175*'4. Revenues'!M20</f>
        <v>59850.447310546842</v>
      </c>
      <c r="K13" s="2">
        <f>'10. Assumptions'!$D$175*'10. Assumptions'!O175*'4. Revenues'!N20</f>
        <v>68828.014407128867</v>
      </c>
      <c r="L13" s="12">
        <f>'10. Assumptions'!$D$175*'10. Assumptions'!P175*'4. Revenues'!O20</f>
        <v>79152.216568198171</v>
      </c>
    </row>
    <row r="14" spans="1:13" x14ac:dyDescent="0.3">
      <c r="A14" s="7" t="str">
        <f>'10. Assumptions'!B176</f>
        <v>Baobab Oil Sales</v>
      </c>
      <c r="B14" s="9"/>
      <c r="C14" s="2">
        <f>'10. Assumptions'!$D$176*'10. Assumptions'!G176*'4. Revenues'!F39</f>
        <v>1875</v>
      </c>
      <c r="D14" s="2">
        <f>'10. Assumptions'!$D$176*'10. Assumptions'!H176*'4. Revenues'!G39</f>
        <v>4312.5</v>
      </c>
      <c r="E14" s="2">
        <f>'10. Assumptions'!$D$176*'10. Assumptions'!I176*'4. Revenues'!H39</f>
        <v>4996.5703125</v>
      </c>
      <c r="F14" s="2">
        <f>'10. Assumptions'!$D$176*'10. Assumptions'!J176*'4. Revenues'!I39</f>
        <v>5746.0558593749993</v>
      </c>
      <c r="G14" s="2">
        <f>'10. Assumptions'!$D$176*'10. Assumptions'!K176*'4. Revenues'!J39</f>
        <v>6280.0255664062479</v>
      </c>
      <c r="H14" s="2">
        <f>'10. Assumptions'!$D$176*'10. Assumptions'!L176*'4. Revenues'!K39</f>
        <v>7222.0294013671855</v>
      </c>
      <c r="I14" s="2">
        <f>'10. Assumptions'!$D$176*'10. Assumptions'!M176*'4. Revenues'!L39</f>
        <v>8153.5391988281217</v>
      </c>
      <c r="J14" s="2">
        <f>'10. Assumptions'!$D$176*'10. Assumptions'!N176*'4. Revenues'!M39</f>
        <v>9127.1932148583928</v>
      </c>
      <c r="K14" s="2">
        <f>'10. Assumptions'!$D$176*'10. Assumptions'!O176*'4. Revenues'!N39</f>
        <v>10496.272197087148</v>
      </c>
      <c r="L14" s="12">
        <f>'10. Assumptions'!$D$176*'10. Assumptions'!P176*'4. Revenues'!O39</f>
        <v>12070.713026650223</v>
      </c>
    </row>
    <row r="15" spans="1:13" x14ac:dyDescent="0.3">
      <c r="A15" s="7" t="str">
        <f>'10. Assumptions'!B177</f>
        <v>Baobab Seed Sales</v>
      </c>
      <c r="B15" s="9"/>
      <c r="C15" s="2">
        <f>'10. Assumptions'!$D$177*'10. Assumptions'!G177*'4. Revenues'!E51</f>
        <v>14.5</v>
      </c>
      <c r="D15" s="2">
        <f>'10. Assumptions'!$D$177*'10. Assumptions'!H177*'4. Revenues'!F51</f>
        <v>1071.4285714285716</v>
      </c>
      <c r="E15" s="2">
        <f>'10. Assumptions'!$D$177*'10. Assumptions'!I177*'4. Revenues'!G51</f>
        <v>1232.1428571428573</v>
      </c>
      <c r="F15" s="2">
        <f>'10. Assumptions'!$D$177*'10. Assumptions'!J177*'4. Revenues'!H51</f>
        <v>1416.9642857142856</v>
      </c>
      <c r="G15" s="2">
        <f>'10. Assumptions'!$D$177*'10. Assumptions'!K177*'4. Revenues'!I51</f>
        <v>1629.5089285714282</v>
      </c>
      <c r="H15" s="2">
        <f>'10. Assumptions'!$D$177*'10. Assumptions'!L177*'4. Revenues'!J51</f>
        <v>1873.9352678571424</v>
      </c>
      <c r="I15" s="2">
        <f>'10. Assumptions'!$D$177*'10. Assumptions'!M177*'4. Revenues'!K51</f>
        <v>2155.0255580357134</v>
      </c>
      <c r="J15" s="2">
        <f>'10. Assumptions'!$D$177*'10. Assumptions'!N177*'4. Revenues'!L51</f>
        <v>2478.2793917410704</v>
      </c>
      <c r="K15" s="2">
        <f>'10. Assumptions'!$D$177*'10. Assumptions'!O177*'4. Revenues'!M51</f>
        <v>2850.021300502231</v>
      </c>
      <c r="L15" s="12">
        <f>'10. Assumptions'!$D$177*'10. Assumptions'!P177*'4. Revenues'!N51</f>
        <v>3277.5244955775647</v>
      </c>
    </row>
    <row r="16" spans="1:13" x14ac:dyDescent="0.3">
      <c r="A16" s="7" t="str">
        <f>'10. Assumptions'!B178</f>
        <v>Baobab Seedcake Sales</v>
      </c>
      <c r="B16" s="9"/>
      <c r="C16" s="48">
        <f>'10. Assumptions'!$D$178*'10. Assumptions'!G178*'4. Revenues'!E45</f>
        <v>10</v>
      </c>
      <c r="D16" s="48">
        <f>'10. Assumptions'!$D$178*'10. Assumptions'!H178*'4. Revenues'!F45</f>
        <v>712.5</v>
      </c>
      <c r="E16" s="48">
        <f>'10. Assumptions'!$D$178*'10. Assumptions'!I178*'4. Revenues'!G45</f>
        <v>819.375</v>
      </c>
      <c r="F16" s="48">
        <f>'10. Assumptions'!$D$178*'10. Assumptions'!J178*'4. Revenues'!H45</f>
        <v>942.28124999999989</v>
      </c>
      <c r="G16" s="48">
        <f>'10. Assumptions'!$D$178*'10. Assumptions'!K178*'4. Revenues'!I45</f>
        <v>1083.6234374999997</v>
      </c>
      <c r="H16" s="48">
        <f>'10. Assumptions'!$D$178*'10. Assumptions'!L178*'4. Revenues'!J45</f>
        <v>1246.1669531249995</v>
      </c>
      <c r="I16" s="48">
        <f>'10. Assumptions'!$D$178*'10. Assumptions'!M178*'4. Revenues'!K45</f>
        <v>1433.0919960937492</v>
      </c>
      <c r="J16" s="48">
        <f>'10. Assumptions'!$D$178*'10. Assumptions'!N178*'4. Revenues'!L45</f>
        <v>1648.0557955078118</v>
      </c>
      <c r="K16" s="48">
        <f>'10. Assumptions'!$D$178*'10. Assumptions'!O178*'4. Revenues'!M45</f>
        <v>1895.2641648339836</v>
      </c>
      <c r="L16" s="49">
        <f>'10. Assumptions'!$D$178*'10. Assumptions'!P178*'4. Revenues'!N45</f>
        <v>2179.5537895590801</v>
      </c>
    </row>
    <row r="17" spans="1:12" x14ac:dyDescent="0.3">
      <c r="A17" s="36" t="s">
        <v>286</v>
      </c>
      <c r="B17" s="32"/>
      <c r="C17" s="39">
        <f>SUM(C13:C16)</f>
        <v>13999.5</v>
      </c>
      <c r="D17" s="39">
        <f t="shared" ref="D17:L17" si="1">SUM(D13:D16)</f>
        <v>33926.428571428572</v>
      </c>
      <c r="E17" s="39">
        <f t="shared" si="1"/>
        <v>38391.338169642855</v>
      </c>
      <c r="F17" s="39">
        <f t="shared" si="1"/>
        <v>43845.863895089271</v>
      </c>
      <c r="G17" s="39">
        <f t="shared" si="1"/>
        <v>50094.80480747766</v>
      </c>
      <c r="H17" s="39">
        <f t="shared" si="1"/>
        <v>56603.346934849316</v>
      </c>
      <c r="I17" s="39">
        <f t="shared" si="1"/>
        <v>64942.054362332558</v>
      </c>
      <c r="J17" s="39">
        <f t="shared" si="1"/>
        <v>73103.975712654123</v>
      </c>
      <c r="K17" s="39">
        <f t="shared" si="1"/>
        <v>84069.572069552232</v>
      </c>
      <c r="L17" s="40">
        <f t="shared" si="1"/>
        <v>96680.007879985045</v>
      </c>
    </row>
    <row r="18" spans="1:12" x14ac:dyDescent="0.3">
      <c r="A18" s="7"/>
      <c r="B18" s="9"/>
      <c r="C18" s="2"/>
      <c r="D18" s="2"/>
      <c r="E18" s="2"/>
      <c r="F18" s="2"/>
      <c r="G18" s="2"/>
      <c r="H18" s="2"/>
      <c r="I18" s="2"/>
      <c r="J18" s="2"/>
      <c r="K18" s="2"/>
      <c r="L18" s="12"/>
    </row>
    <row r="19" spans="1:12" x14ac:dyDescent="0.3">
      <c r="A19" s="7" t="str">
        <f>'10. Assumptions'!B180</f>
        <v>Advertising</v>
      </c>
      <c r="B19" s="9"/>
      <c r="C19" s="2"/>
      <c r="D19" s="2"/>
      <c r="E19" s="2"/>
      <c r="F19" s="2"/>
      <c r="G19" s="2"/>
      <c r="H19" s="2"/>
      <c r="I19" s="2"/>
      <c r="J19" s="2"/>
      <c r="K19" s="2"/>
      <c r="L19" s="12"/>
    </row>
    <row r="20" spans="1:12" x14ac:dyDescent="0.3">
      <c r="A20" s="7" t="str">
        <f>'10. Assumptions'!B181</f>
        <v>Baobab Powder Sales</v>
      </c>
      <c r="B20" s="9"/>
      <c r="C20" s="2">
        <f>'10. Assumptions'!$D$181*'10. Assumptions'!G181*'4. Revenues'!E20</f>
        <v>0</v>
      </c>
      <c r="D20" s="2">
        <f>'10. Assumptions'!$D$181*'10. Assumptions'!H181*'4. Revenues'!F20</f>
        <v>24200</v>
      </c>
      <c r="E20" s="2">
        <f>'10. Assumptions'!$D$181*'10. Assumptions'!I181*'4. Revenues'!G20</f>
        <v>27830</v>
      </c>
      <c r="F20" s="2">
        <f>'10. Assumptions'!$D$181*'10. Assumptions'!J181*'4. Revenues'!H20</f>
        <v>31343.25</v>
      </c>
      <c r="G20" s="2">
        <f>'10. Assumptions'!$D$181*'10. Assumptions'!K181*'4. Revenues'!I20</f>
        <v>35740.562499999993</v>
      </c>
      <c r="H20" s="2">
        <f>'10. Assumptions'!$D$181*'10. Assumptions'!L181*'4. Revenues'!J20</f>
        <v>41101.646874999984</v>
      </c>
      <c r="I20" s="2">
        <f>'10. Assumptions'!$D$181*'10. Assumptions'!M181*'4. Revenues'!K20</f>
        <v>46261.215312499982</v>
      </c>
      <c r="J20" s="2">
        <f>'10. Assumptions'!$D$181*'10. Assumptions'!N181*'4. Revenues'!L20</f>
        <v>53200.397609374981</v>
      </c>
      <c r="K20" s="2">
        <f>'10. Assumptions'!$D$181*'10. Assumptions'!O181*'4. Revenues'!M20</f>
        <v>59850.447310546842</v>
      </c>
      <c r="L20" s="12">
        <f>'10. Assumptions'!$D$181*'10. Assumptions'!P181*'4. Revenues'!N20</f>
        <v>68828.014407128867</v>
      </c>
    </row>
    <row r="21" spans="1:12" x14ac:dyDescent="0.3">
      <c r="A21" s="7" t="str">
        <f>'10. Assumptions'!B182</f>
        <v>Baobab Oil Sales</v>
      </c>
      <c r="B21" s="9"/>
      <c r="C21" s="2">
        <f>'10. Assumptions'!$D$182*'10. Assumptions'!G182*'4. Revenues'!E39</f>
        <v>0</v>
      </c>
      <c r="D21" s="2">
        <f>'10. Assumptions'!$D$182*'10. Assumptions'!H182*'4. Revenues'!F39</f>
        <v>3750</v>
      </c>
      <c r="E21" s="2">
        <f>'10. Assumptions'!$D$182*'10. Assumptions'!I182*'4. Revenues'!G39</f>
        <v>4312.5</v>
      </c>
      <c r="F21" s="2">
        <f>'10. Assumptions'!$D$182*'10. Assumptions'!J182*'4. Revenues'!H39</f>
        <v>4996.5703125</v>
      </c>
      <c r="G21" s="2">
        <f>'10. Assumptions'!$D$182*'10. Assumptions'!K182*'4. Revenues'!I39</f>
        <v>5746.0558593749993</v>
      </c>
      <c r="H21" s="2">
        <f>'10. Assumptions'!$D$182*'10. Assumptions'!L182*'4. Revenues'!J39</f>
        <v>6280.0255664062479</v>
      </c>
      <c r="I21" s="2">
        <f>'10. Assumptions'!$D$182*'10. Assumptions'!M182*'4. Revenues'!K39</f>
        <v>7222.0294013671855</v>
      </c>
      <c r="J21" s="2">
        <f>'10. Assumptions'!$D$182*'10. Assumptions'!N182*'4. Revenues'!L39</f>
        <v>8153.5391988281217</v>
      </c>
      <c r="K21" s="2">
        <f>'10. Assumptions'!$D$182*'10. Assumptions'!O182*'4. Revenues'!M39</f>
        <v>9127.1932148583928</v>
      </c>
      <c r="L21" s="12">
        <f>'10. Assumptions'!$D$182*'10. Assumptions'!P182*'4. Revenues'!N39</f>
        <v>10496.272197087148</v>
      </c>
    </row>
    <row r="22" spans="1:12" x14ac:dyDescent="0.3">
      <c r="A22" s="7" t="str">
        <f>'10. Assumptions'!B183</f>
        <v>Baobab Seed Sales</v>
      </c>
      <c r="B22" s="9"/>
      <c r="C22" s="2">
        <f>'10. Assumptions'!$D$183*'10. Assumptions'!G183*'4. Revenues'!E51</f>
        <v>0</v>
      </c>
      <c r="D22" s="2">
        <f>'10. Assumptions'!$D$183*'10. Assumptions'!H183*'4. Revenues'!F51</f>
        <v>535.71428571428578</v>
      </c>
      <c r="E22" s="2">
        <f>'10. Assumptions'!$D$183*'10. Assumptions'!I183*'4. Revenues'!G51</f>
        <v>616.07142857142867</v>
      </c>
      <c r="F22" s="2">
        <f>'10. Assumptions'!$D$183*'10. Assumptions'!J183*'4. Revenues'!H51</f>
        <v>708.48214285714278</v>
      </c>
      <c r="G22" s="2">
        <f>'10. Assumptions'!$D$183*'10. Assumptions'!K183*'4. Revenues'!I51</f>
        <v>814.75446428571411</v>
      </c>
      <c r="H22" s="2">
        <f>'10. Assumptions'!$D$183*'10. Assumptions'!L183*'4. Revenues'!J51</f>
        <v>936.96763392857122</v>
      </c>
      <c r="I22" s="2">
        <f>'10. Assumptions'!$D$183*'10. Assumptions'!M183*'4. Revenues'!K51</f>
        <v>1077.5127790178567</v>
      </c>
      <c r="J22" s="2">
        <f>'10. Assumptions'!$D$183*'10. Assumptions'!N183*'4. Revenues'!L51</f>
        <v>1239.1396958705352</v>
      </c>
      <c r="K22" s="2">
        <f>'10. Assumptions'!$D$183*'10. Assumptions'!O183*'4. Revenues'!M51</f>
        <v>1425.0106502511155</v>
      </c>
      <c r="L22" s="12">
        <f>'10. Assumptions'!$D$183*'10. Assumptions'!P183*'4. Revenues'!N51</f>
        <v>1638.7622477887824</v>
      </c>
    </row>
    <row r="23" spans="1:12" x14ac:dyDescent="0.3">
      <c r="A23" s="7" t="str">
        <f>'10. Assumptions'!B184</f>
        <v>Baobab Seedcake Sales</v>
      </c>
      <c r="B23" s="9"/>
      <c r="C23" s="48">
        <f>'10. Assumptions'!$D$184*'10. Assumptions'!G184*'4. Revenues'!E45</f>
        <v>0</v>
      </c>
      <c r="D23" s="48">
        <f>'10. Assumptions'!$D$184*'10. Assumptions'!H184*'4. Revenues'!F45</f>
        <v>356.25</v>
      </c>
      <c r="E23" s="48">
        <f>'10. Assumptions'!$D$184*'10. Assumptions'!I184*'4. Revenues'!G45</f>
        <v>409.6875</v>
      </c>
      <c r="F23" s="48">
        <f>'10. Assumptions'!$D$184*'10. Assumptions'!J184*'4. Revenues'!H45</f>
        <v>471.14062499999994</v>
      </c>
      <c r="G23" s="48">
        <f>'10. Assumptions'!$D$184*'10. Assumptions'!K184*'4. Revenues'!I45</f>
        <v>541.81171874999984</v>
      </c>
      <c r="H23" s="48">
        <f>'10. Assumptions'!$D$184*'10. Assumptions'!L184*'4. Revenues'!J45</f>
        <v>623.08347656249975</v>
      </c>
      <c r="I23" s="48">
        <f>'10. Assumptions'!$D$184*'10. Assumptions'!M184*'4. Revenues'!K45</f>
        <v>716.54599804687462</v>
      </c>
      <c r="J23" s="48">
        <f>'10. Assumptions'!$D$184*'10. Assumptions'!N184*'4. Revenues'!L45</f>
        <v>824.0278977539059</v>
      </c>
      <c r="K23" s="48">
        <f>'10. Assumptions'!$D$184*'10. Assumptions'!O184*'4. Revenues'!M45</f>
        <v>947.63208241699181</v>
      </c>
      <c r="L23" s="49">
        <f>'10. Assumptions'!$D$184*'10. Assumptions'!P184*'4. Revenues'!N45</f>
        <v>1089.77689477954</v>
      </c>
    </row>
    <row r="24" spans="1:12" x14ac:dyDescent="0.3">
      <c r="A24" s="36" t="s">
        <v>287</v>
      </c>
      <c r="B24" s="32"/>
      <c r="C24" s="39">
        <f>SUM(C20:C23)</f>
        <v>0</v>
      </c>
      <c r="D24" s="39">
        <f t="shared" ref="D24:L24" si="2">SUM(D20:D23)</f>
        <v>28841.964285714286</v>
      </c>
      <c r="E24" s="39">
        <f t="shared" si="2"/>
        <v>33168.258928571428</v>
      </c>
      <c r="F24" s="39">
        <f t="shared" si="2"/>
        <v>37519.443080357145</v>
      </c>
      <c r="G24" s="39">
        <f t="shared" si="2"/>
        <v>42843.184542410709</v>
      </c>
      <c r="H24" s="39">
        <f t="shared" si="2"/>
        <v>48941.723551897303</v>
      </c>
      <c r="I24" s="39">
        <f t="shared" si="2"/>
        <v>55277.303490931903</v>
      </c>
      <c r="J24" s="39">
        <f t="shared" si="2"/>
        <v>63417.104401827542</v>
      </c>
      <c r="K24" s="39">
        <f t="shared" si="2"/>
        <v>71350.283258073352</v>
      </c>
      <c r="L24" s="40">
        <f t="shared" si="2"/>
        <v>82052.825746784336</v>
      </c>
    </row>
    <row r="25" spans="1:12" x14ac:dyDescent="0.3">
      <c r="A25" s="7"/>
      <c r="B25" s="9"/>
      <c r="C25" s="2"/>
      <c r="D25" s="2"/>
      <c r="E25" s="2"/>
      <c r="F25" s="2"/>
      <c r="G25" s="2"/>
      <c r="H25" s="2"/>
      <c r="I25" s="2"/>
      <c r="J25" s="2"/>
      <c r="K25" s="2"/>
      <c r="L25" s="12"/>
    </row>
    <row r="26" spans="1:12" x14ac:dyDescent="0.3">
      <c r="A26" s="7" t="str">
        <f>'10. Assumptions'!B186</f>
        <v>Customer Visits</v>
      </c>
      <c r="B26" s="9"/>
      <c r="C26" s="2"/>
      <c r="D26" s="2"/>
      <c r="E26" s="2"/>
      <c r="F26" s="2"/>
      <c r="G26" s="2"/>
      <c r="H26" s="2"/>
      <c r="I26" s="2"/>
      <c r="J26" s="2"/>
      <c r="K26" s="2"/>
      <c r="L26" s="12"/>
    </row>
    <row r="27" spans="1:12" x14ac:dyDescent="0.3">
      <c r="A27" s="7" t="str">
        <f>'10. Assumptions'!B187</f>
        <v>Baobab Powder Sales</v>
      </c>
      <c r="B27" s="9"/>
      <c r="C27" s="2">
        <f>'10. Assumptions'!$D$187*'10. Assumptions'!G187*'4. Revenues'!E20</f>
        <v>0</v>
      </c>
      <c r="D27" s="2">
        <f>'10. Assumptions'!$D$187*'10. Assumptions'!H187*'4. Revenues'!F20</f>
        <v>48400</v>
      </c>
      <c r="E27" s="2">
        <f>'10. Assumptions'!$D$187*'10. Assumptions'!I187*'4. Revenues'!G20</f>
        <v>55660</v>
      </c>
      <c r="F27" s="2">
        <f>'10. Assumptions'!$D$187*'10. Assumptions'!J187*'4. Revenues'!H20</f>
        <v>62686.5</v>
      </c>
      <c r="G27" s="2">
        <f>'10. Assumptions'!$D$187*'10. Assumptions'!K187*'4. Revenues'!I20</f>
        <v>71481.124999999985</v>
      </c>
      <c r="H27" s="2">
        <f>'10. Assumptions'!$D$187*'10. Assumptions'!L187*'4. Revenues'!J20</f>
        <v>82203.293749999968</v>
      </c>
      <c r="I27" s="2">
        <f>'10. Assumptions'!$D$187*'10. Assumptions'!M187*'4. Revenues'!K20</f>
        <v>92522.430624999964</v>
      </c>
      <c r="J27" s="2">
        <f>'10. Assumptions'!$D$187*'10. Assumptions'!N187*'4. Revenues'!L20</f>
        <v>106400.79521874996</v>
      </c>
      <c r="K27" s="2">
        <f>'10. Assumptions'!$D$187*'10. Assumptions'!O187*'4. Revenues'!M20</f>
        <v>119700.89462109368</v>
      </c>
      <c r="L27" s="12">
        <f>'10. Assumptions'!$D$187*'10. Assumptions'!P187*'4. Revenues'!N20</f>
        <v>137656.02881425773</v>
      </c>
    </row>
    <row r="28" spans="1:12" x14ac:dyDescent="0.3">
      <c r="A28" s="7" t="str">
        <f>'10. Assumptions'!B188</f>
        <v>Baobab Oil Sales</v>
      </c>
      <c r="B28" s="9"/>
      <c r="C28" s="2">
        <f>'10. Assumptions'!$D$188*'10. Assumptions'!G188*'4. Revenues'!E39</f>
        <v>0</v>
      </c>
      <c r="D28" s="2">
        <f>'10. Assumptions'!$D$188*'10. Assumptions'!H188*'4. Revenues'!F39</f>
        <v>7500</v>
      </c>
      <c r="E28" s="2">
        <f>'10. Assumptions'!$D$188*'10. Assumptions'!I188*'4. Revenues'!G39</f>
        <v>8625</v>
      </c>
      <c r="F28" s="2">
        <f>'10. Assumptions'!$D$188*'10. Assumptions'!J188*'4. Revenues'!H39</f>
        <v>9993.140625</v>
      </c>
      <c r="G28" s="2">
        <f>'10. Assumptions'!$D$188*'10. Assumptions'!K188*'4. Revenues'!I39</f>
        <v>11492.111718749999</v>
      </c>
      <c r="H28" s="2">
        <f>'10. Assumptions'!$D$188*'10. Assumptions'!L188*'4. Revenues'!J39</f>
        <v>12560.051132812496</v>
      </c>
      <c r="I28" s="2">
        <f>'10. Assumptions'!$D$188*'10. Assumptions'!M188*'4. Revenues'!K39</f>
        <v>14444.058802734371</v>
      </c>
      <c r="J28" s="2">
        <f>'10. Assumptions'!$D$188*'10. Assumptions'!N188*'4. Revenues'!L39</f>
        <v>16307.078397656243</v>
      </c>
      <c r="K28" s="2">
        <f>'10. Assumptions'!$D$188*'10. Assumptions'!O188*'4. Revenues'!M39</f>
        <v>18254.386429716786</v>
      </c>
      <c r="L28" s="12">
        <f>'10. Assumptions'!$D$188*'10. Assumptions'!P188*'4. Revenues'!N39</f>
        <v>20992.544394174296</v>
      </c>
    </row>
    <row r="29" spans="1:12" x14ac:dyDescent="0.3">
      <c r="A29" s="7" t="str">
        <f>'10. Assumptions'!B189</f>
        <v>Baobab Seed Sales</v>
      </c>
      <c r="B29" s="9"/>
      <c r="C29" s="2">
        <f>'10. Assumptions'!$D$189*'10. Assumptions'!G189*'4. Revenues'!E51</f>
        <v>0</v>
      </c>
      <c r="D29" s="2">
        <f>'10. Assumptions'!$D$189*'10. Assumptions'!H189*'4. Revenues'!F51</f>
        <v>2142.8571428571431</v>
      </c>
      <c r="E29" s="2">
        <f>'10. Assumptions'!$D$189*'10. Assumptions'!I189*'4. Revenues'!G51</f>
        <v>2464.2857142857147</v>
      </c>
      <c r="F29" s="2">
        <f>'10. Assumptions'!$D$189*'10. Assumptions'!J189*'4. Revenues'!H51</f>
        <v>2833.9285714285711</v>
      </c>
      <c r="G29" s="2">
        <f>'10. Assumptions'!$D$189*'10. Assumptions'!K189*'4. Revenues'!I51</f>
        <v>3259.0178571428564</v>
      </c>
      <c r="H29" s="2">
        <f>'10. Assumptions'!$D$189*'10. Assumptions'!L189*'4. Revenues'!J51</f>
        <v>3747.8705357142849</v>
      </c>
      <c r="I29" s="2">
        <f>'10. Assumptions'!$D$189*'10. Assumptions'!M189*'4. Revenues'!K51</f>
        <v>4310.0511160714268</v>
      </c>
      <c r="J29" s="2">
        <f>'10. Assumptions'!$D$189*'10. Assumptions'!N189*'4. Revenues'!L51</f>
        <v>4956.5587834821408</v>
      </c>
      <c r="K29" s="2">
        <f>'10. Assumptions'!$D$189*'10. Assumptions'!O189*'4. Revenues'!M51</f>
        <v>5700.0426010044621</v>
      </c>
      <c r="L29" s="12">
        <f>'10. Assumptions'!$D$189*'10. Assumptions'!P189*'4. Revenues'!N51</f>
        <v>6555.0489911551294</v>
      </c>
    </row>
    <row r="30" spans="1:12" x14ac:dyDescent="0.3">
      <c r="A30" s="7" t="str">
        <f>'10. Assumptions'!B190</f>
        <v>Baobab Seedcake Sales</v>
      </c>
      <c r="B30" s="9"/>
      <c r="C30" s="48">
        <f>'10. Assumptions'!$D$190*'10. Assumptions'!G190*'4. Revenues'!E45</f>
        <v>0</v>
      </c>
      <c r="D30" s="48">
        <f>'10. Assumptions'!$D$190*'10. Assumptions'!H190*'4. Revenues'!F45</f>
        <v>1425</v>
      </c>
      <c r="E30" s="48">
        <f>'10. Assumptions'!$D$190*'10. Assumptions'!I190*'4. Revenues'!G45</f>
        <v>1638.75</v>
      </c>
      <c r="F30" s="48">
        <f>'10. Assumptions'!$D$190*'10. Assumptions'!J190*'4. Revenues'!H45</f>
        <v>1884.5624999999998</v>
      </c>
      <c r="G30" s="48">
        <f>'10. Assumptions'!$D$190*'10. Assumptions'!K190*'4. Revenues'!I45</f>
        <v>2167.2468749999994</v>
      </c>
      <c r="H30" s="48">
        <f>'10. Assumptions'!$D$190*'10. Assumptions'!L190*'4. Revenues'!J45</f>
        <v>2492.333906249999</v>
      </c>
      <c r="I30" s="48">
        <f>'10. Assumptions'!$D$190*'10. Assumptions'!M190*'4. Revenues'!K45</f>
        <v>2866.1839921874985</v>
      </c>
      <c r="J30" s="48">
        <f>'10. Assumptions'!$D$190*'10. Assumptions'!N190*'4. Revenues'!L45</f>
        <v>3296.1115910156236</v>
      </c>
      <c r="K30" s="48">
        <f>'10. Assumptions'!$D$190*'10. Assumptions'!O190*'4. Revenues'!M45</f>
        <v>3790.5283296679672</v>
      </c>
      <c r="L30" s="49">
        <f>'10. Assumptions'!$D$190*'10. Assumptions'!P190*'4. Revenues'!N45</f>
        <v>4359.1075791181602</v>
      </c>
    </row>
    <row r="31" spans="1:12" x14ac:dyDescent="0.3">
      <c r="A31" s="36" t="s">
        <v>288</v>
      </c>
      <c r="B31" s="32"/>
      <c r="C31" s="39">
        <f>SUM(C27:C30)</f>
        <v>0</v>
      </c>
      <c r="D31" s="39">
        <f t="shared" ref="D31:L31" si="3">SUM(D27:D30)</f>
        <v>59467.857142857145</v>
      </c>
      <c r="E31" s="39">
        <f t="shared" si="3"/>
        <v>68388.03571428571</v>
      </c>
      <c r="F31" s="39">
        <f t="shared" si="3"/>
        <v>77398.131696428565</v>
      </c>
      <c r="G31" s="39">
        <f t="shared" si="3"/>
        <v>88399.501450892829</v>
      </c>
      <c r="H31" s="39">
        <f t="shared" si="3"/>
        <v>101003.54932477676</v>
      </c>
      <c r="I31" s="39">
        <f t="shared" si="3"/>
        <v>114142.72453599326</v>
      </c>
      <c r="J31" s="39">
        <f t="shared" si="3"/>
        <v>130960.54399090396</v>
      </c>
      <c r="K31" s="39">
        <f t="shared" si="3"/>
        <v>147445.85198148291</v>
      </c>
      <c r="L31" s="40">
        <f t="shared" si="3"/>
        <v>169562.72977870534</v>
      </c>
    </row>
    <row r="32" spans="1:12" x14ac:dyDescent="0.3">
      <c r="A32" s="31"/>
      <c r="B32" s="9"/>
      <c r="C32" s="41"/>
      <c r="D32" s="41"/>
      <c r="E32" s="41"/>
      <c r="F32" s="41"/>
      <c r="G32" s="41"/>
      <c r="H32" s="41"/>
      <c r="I32" s="41"/>
      <c r="J32" s="41"/>
      <c r="K32" s="41"/>
      <c r="L32" s="56"/>
    </row>
    <row r="33" spans="1:12" x14ac:dyDescent="0.3">
      <c r="A33" s="67" t="s">
        <v>44</v>
      </c>
      <c r="B33" s="9"/>
      <c r="C33" s="41"/>
      <c r="D33" s="41"/>
      <c r="E33" s="41"/>
      <c r="F33" s="41"/>
      <c r="G33" s="41"/>
      <c r="H33" s="41"/>
      <c r="I33" s="41"/>
      <c r="J33" s="41"/>
      <c r="K33" s="41"/>
      <c r="L33" s="56"/>
    </row>
    <row r="34" spans="1:12" x14ac:dyDescent="0.3">
      <c r="A34" s="67" t="s">
        <v>11</v>
      </c>
      <c r="B34" s="9"/>
      <c r="C34" s="69">
        <f>'10. Assumptions'!$D$193*'10. Assumptions'!$F$193*'10. Assumptions'!G193</f>
        <v>50000</v>
      </c>
      <c r="D34" s="48">
        <f>'10. Assumptions'!$D$193*'10. Assumptions'!$F$193*'10. Assumptions'!H193</f>
        <v>100000</v>
      </c>
      <c r="E34" s="48">
        <f>'10. Assumptions'!$D$193*'10. Assumptions'!$F$193*'10. Assumptions'!I193</f>
        <v>100000</v>
      </c>
      <c r="F34" s="48">
        <f>'10. Assumptions'!$D$193*'10. Assumptions'!$F$193*'10. Assumptions'!J193</f>
        <v>100000</v>
      </c>
      <c r="G34" s="48">
        <f>'10. Assumptions'!$D$193*'10. Assumptions'!$F$193*'10. Assumptions'!K193</f>
        <v>150000</v>
      </c>
      <c r="H34" s="48">
        <f>'10. Assumptions'!$D$193*'10. Assumptions'!$F$193*'10. Assumptions'!L193</f>
        <v>150000</v>
      </c>
      <c r="I34" s="48">
        <f>'10. Assumptions'!$D$193*'10. Assumptions'!$F$193*'10. Assumptions'!M193</f>
        <v>150000</v>
      </c>
      <c r="J34" s="48">
        <f>'10. Assumptions'!$D$193*'10. Assumptions'!$F$193*'10. Assumptions'!N193</f>
        <v>200000</v>
      </c>
      <c r="K34" s="48">
        <f>'10. Assumptions'!$D$193*'10. Assumptions'!$F$193*'10. Assumptions'!O193</f>
        <v>200000</v>
      </c>
      <c r="L34" s="49">
        <f>'10. Assumptions'!$D$193*'10. Assumptions'!$F$193*'10. Assumptions'!P193</f>
        <v>200000</v>
      </c>
    </row>
    <row r="35" spans="1:12" x14ac:dyDescent="0.3">
      <c r="A35" s="31" t="s">
        <v>45</v>
      </c>
      <c r="B35" s="9"/>
      <c r="C35" s="41">
        <f>C34</f>
        <v>50000</v>
      </c>
      <c r="D35" s="41">
        <f t="shared" ref="D35:L35" si="4">D34</f>
        <v>100000</v>
      </c>
      <c r="E35" s="41">
        <f t="shared" si="4"/>
        <v>100000</v>
      </c>
      <c r="F35" s="41">
        <f t="shared" si="4"/>
        <v>100000</v>
      </c>
      <c r="G35" s="41">
        <f t="shared" si="4"/>
        <v>150000</v>
      </c>
      <c r="H35" s="41">
        <f t="shared" si="4"/>
        <v>150000</v>
      </c>
      <c r="I35" s="41">
        <f t="shared" si="4"/>
        <v>150000</v>
      </c>
      <c r="J35" s="41">
        <f t="shared" si="4"/>
        <v>200000</v>
      </c>
      <c r="K35" s="41">
        <f t="shared" si="4"/>
        <v>200000</v>
      </c>
      <c r="L35" s="56">
        <f t="shared" si="4"/>
        <v>200000</v>
      </c>
    </row>
    <row r="36" spans="1:12" x14ac:dyDescent="0.3">
      <c r="A36" s="7"/>
      <c r="B36" s="9"/>
      <c r="L36" s="9"/>
    </row>
    <row r="37" spans="1:12" x14ac:dyDescent="0.3">
      <c r="A37" s="42" t="s">
        <v>289</v>
      </c>
      <c r="B37" s="47"/>
      <c r="C37" s="44">
        <f>C31+C24+C17+C10+C5+C35</f>
        <v>133999.5</v>
      </c>
      <c r="D37" s="44">
        <f t="shared" ref="D37:L37" si="5">D31+D24+D17+D10+D5+D35</f>
        <v>292236.25</v>
      </c>
      <c r="E37" s="44">
        <f t="shared" si="5"/>
        <v>319947.6328125</v>
      </c>
      <c r="F37" s="44">
        <f t="shared" si="5"/>
        <v>388763.43867187499</v>
      </c>
      <c r="G37" s="44">
        <f t="shared" si="5"/>
        <v>471337.49080078118</v>
      </c>
      <c r="H37" s="44">
        <f t="shared" si="5"/>
        <v>546548.61981152336</v>
      </c>
      <c r="I37" s="44">
        <f t="shared" si="5"/>
        <v>624362.08238925773</v>
      </c>
      <c r="J37" s="44">
        <f t="shared" si="5"/>
        <v>667481.62410538562</v>
      </c>
      <c r="K37" s="44">
        <f t="shared" si="5"/>
        <v>752865.70730910846</v>
      </c>
      <c r="L37" s="44">
        <f t="shared" si="5"/>
        <v>808295.56340547465</v>
      </c>
    </row>
  </sheetData>
  <phoneticPr fontId="1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1"/>
  <sheetViews>
    <sheetView workbookViewId="0">
      <selection activeCell="C5" sqref="C5"/>
    </sheetView>
  </sheetViews>
  <sheetFormatPr defaultColWidth="11" defaultRowHeight="13.5" x14ac:dyDescent="0.3"/>
  <cols>
    <col min="1" max="1" width="27.23046875" customWidth="1"/>
  </cols>
  <sheetData>
    <row r="1" spans="1:13" x14ac:dyDescent="0.3">
      <c r="A1" s="129" t="s">
        <v>466</v>
      </c>
    </row>
    <row r="3" spans="1:13" x14ac:dyDescent="0.3">
      <c r="A3" s="58"/>
      <c r="B3" s="47"/>
      <c r="C3" s="59">
        <v>2019</v>
      </c>
      <c r="D3" s="59">
        <v>2020</v>
      </c>
      <c r="E3" s="59">
        <v>2021</v>
      </c>
      <c r="F3" s="59">
        <v>2022</v>
      </c>
      <c r="G3" s="59">
        <v>2023</v>
      </c>
      <c r="H3" s="59">
        <v>2024</v>
      </c>
      <c r="I3" s="59">
        <v>2025</v>
      </c>
      <c r="J3" s="59">
        <v>2026</v>
      </c>
      <c r="K3" s="59">
        <v>2027</v>
      </c>
      <c r="L3" s="60">
        <v>2028</v>
      </c>
      <c r="M3" t="s">
        <v>173</v>
      </c>
    </row>
    <row r="4" spans="1:13" x14ac:dyDescent="0.3">
      <c r="A4" s="7"/>
      <c r="B4" s="9"/>
      <c r="L4" s="9"/>
      <c r="M4" t="s">
        <v>173</v>
      </c>
    </row>
    <row r="5" spans="1:13" x14ac:dyDescent="0.3">
      <c r="A5" s="7" t="s">
        <v>372</v>
      </c>
      <c r="B5" s="9"/>
      <c r="C5" s="2">
        <f>'10. Assumptions'!$D$5*'10. Assumptions'!$E$5*'10. Assumptions'!$F$5*'10. Assumptions'!H5</f>
        <v>90000</v>
      </c>
      <c r="D5" s="2">
        <f>'10. Assumptions'!$D$5*'10. Assumptions'!$E$5*'10. Assumptions'!$F$5*'10. Assumptions'!I5</f>
        <v>180000</v>
      </c>
      <c r="E5" s="2">
        <f>'10. Assumptions'!$D$5*'10. Assumptions'!$E$5*'10. Assumptions'!$F$5*'10. Assumptions'!J5</f>
        <v>180000</v>
      </c>
      <c r="F5" s="2">
        <f>'10. Assumptions'!$D$5*'10. Assumptions'!$E$5*'10. Assumptions'!$F$5*'10. Assumptions'!K5</f>
        <v>360000</v>
      </c>
      <c r="G5" s="2">
        <f>'10. Assumptions'!$D$5*'10. Assumptions'!$E$5*'10. Assumptions'!$F$5*'10. Assumptions'!L5</f>
        <v>360000</v>
      </c>
      <c r="H5" s="2">
        <f>'10. Assumptions'!$D$5*'10. Assumptions'!$E$5*'10. Assumptions'!$F$5*'10. Assumptions'!M5</f>
        <v>360000</v>
      </c>
      <c r="I5" s="2">
        <f>'10. Assumptions'!$D$5*'10. Assumptions'!$E$5*'10. Assumptions'!$F$5*'10. Assumptions'!N5</f>
        <v>360000</v>
      </c>
      <c r="J5" s="2">
        <f>'10. Assumptions'!$D$5*'10. Assumptions'!$E$5*'10. Assumptions'!$F$5*'10. Assumptions'!O5</f>
        <v>360000</v>
      </c>
      <c r="K5" s="2">
        <f>'10. Assumptions'!$D$5*'10. Assumptions'!$E$5*'10. Assumptions'!$F$5*'10. Assumptions'!P5</f>
        <v>360000</v>
      </c>
      <c r="L5" s="12">
        <f>'10. Assumptions'!$D$5*'10. Assumptions'!$E$5*'10. Assumptions'!$F$5*'10. Assumptions'!Q5</f>
        <v>360000</v>
      </c>
      <c r="M5" s="2" t="s">
        <v>313</v>
      </c>
    </row>
    <row r="6" spans="1:13" x14ac:dyDescent="0.3">
      <c r="A6" s="7" t="s">
        <v>373</v>
      </c>
      <c r="B6" s="9"/>
      <c r="C6" s="2">
        <f>'10. Assumptions'!$D$6*'10. Assumptions'!$E$6*'10. Assumptions'!$F$6*'10. Assumptions'!H6</f>
        <v>75000</v>
      </c>
      <c r="D6" s="2">
        <f>'10. Assumptions'!$D$6*'10. Assumptions'!$E$6*'10. Assumptions'!$F$6*'10. Assumptions'!I6</f>
        <v>300000</v>
      </c>
      <c r="E6" s="2">
        <f>'10. Assumptions'!$D$6*'10. Assumptions'!$E$6*'10. Assumptions'!$F$6*'10. Assumptions'!J6</f>
        <v>300000</v>
      </c>
      <c r="F6" s="2">
        <f>'10. Assumptions'!$D$6*'10. Assumptions'!$E$6*'10. Assumptions'!$F$6*'10. Assumptions'!K6</f>
        <v>300000</v>
      </c>
      <c r="G6" s="2">
        <f>'10. Assumptions'!$D$6*'10. Assumptions'!$E$6*'10. Assumptions'!$F$6*'10. Assumptions'!L6</f>
        <v>300000</v>
      </c>
      <c r="H6" s="2">
        <f>'10. Assumptions'!$D$6*'10. Assumptions'!$E$6*'10. Assumptions'!$F$6*'10. Assumptions'!M6</f>
        <v>300000</v>
      </c>
      <c r="I6" s="2">
        <f>'10. Assumptions'!$D$6*'10. Assumptions'!$E$6*'10. Assumptions'!$F$6*'10. Assumptions'!N6</f>
        <v>300000</v>
      </c>
      <c r="J6" s="2">
        <f>'10. Assumptions'!$D$6*'10. Assumptions'!$E$6*'10. Assumptions'!$F$6*'10. Assumptions'!O6</f>
        <v>300000</v>
      </c>
      <c r="K6" s="2">
        <f>'10. Assumptions'!$D$6*'10. Assumptions'!$E$6*'10. Assumptions'!$F$6*'10. Assumptions'!P6</f>
        <v>300000</v>
      </c>
      <c r="L6" s="12">
        <f>'10. Assumptions'!$D$6*'10. Assumptions'!$E$6*'10. Assumptions'!$F$6*'10. Assumptions'!Q6</f>
        <v>300000</v>
      </c>
    </row>
    <row r="7" spans="1:13" x14ac:dyDescent="0.3">
      <c r="A7" s="7" t="s">
        <v>374</v>
      </c>
      <c r="B7" s="9"/>
      <c r="C7" s="2">
        <f>'10. Assumptions'!$D$8*'10. Assumptions'!$E$8*'10. Assumptions'!$F$8*'10. Assumptions'!H8</f>
        <v>60000</v>
      </c>
      <c r="D7" s="2">
        <f>'10. Assumptions'!$D$8*'10. Assumptions'!$E$8*'10. Assumptions'!$F$8*'10. Assumptions'!I8</f>
        <v>240000</v>
      </c>
      <c r="E7" s="2">
        <f>'10. Assumptions'!$D$8*'10. Assumptions'!$E$8*'10. Assumptions'!$F$8*'10. Assumptions'!J8</f>
        <v>240000</v>
      </c>
      <c r="F7" s="2">
        <f>'10. Assumptions'!$D$8*'10. Assumptions'!$E$8*'10. Assumptions'!$F$8*'10. Assumptions'!K8</f>
        <v>240000</v>
      </c>
      <c r="G7" s="2">
        <f>'10. Assumptions'!$D$8*'10. Assumptions'!$E$8*'10. Assumptions'!$F$8*'10. Assumptions'!L8</f>
        <v>240000</v>
      </c>
      <c r="H7" s="2">
        <f>'10. Assumptions'!$D$8*'10. Assumptions'!$E$8*'10. Assumptions'!$F$8*'10. Assumptions'!M8</f>
        <v>240000</v>
      </c>
      <c r="I7" s="2">
        <f>'10. Assumptions'!$D$8*'10. Assumptions'!$E$8*'10. Assumptions'!$F$8*'10. Assumptions'!N8</f>
        <v>240000</v>
      </c>
      <c r="J7" s="2">
        <f>'10. Assumptions'!$D$8*'10. Assumptions'!$E$8*'10. Assumptions'!$F$8*'10. Assumptions'!O8</f>
        <v>240000</v>
      </c>
      <c r="K7" s="2">
        <f>'10. Assumptions'!$D$8*'10. Assumptions'!$E$8*'10. Assumptions'!$F$8*'10. Assumptions'!P8</f>
        <v>240000</v>
      </c>
      <c r="L7" s="12">
        <f>'10. Assumptions'!$D$8*'10. Assumptions'!$E$8*'10. Assumptions'!$F$8*'10. Assumptions'!Q8</f>
        <v>240000</v>
      </c>
    </row>
    <row r="8" spans="1:13" x14ac:dyDescent="0.3">
      <c r="A8" s="7" t="s">
        <v>235</v>
      </c>
      <c r="B8" s="9"/>
      <c r="C8" s="2">
        <f>'10. Assumptions'!$D$13*'10. Assumptions'!$E$13*'10. Assumptions'!$F$13*'10. Assumptions'!H13</f>
        <v>60000</v>
      </c>
      <c r="D8" s="2">
        <f>'10. Assumptions'!$D$13*'10. Assumptions'!$E$13*'10. Assumptions'!$F$13*'10. Assumptions'!I13</f>
        <v>240000</v>
      </c>
      <c r="E8" s="2">
        <f>'10. Assumptions'!$D$13*'10. Assumptions'!$E$13*'10. Assumptions'!$F$13*'10. Assumptions'!J13</f>
        <v>240000</v>
      </c>
      <c r="F8" s="2">
        <f>'10. Assumptions'!$D$13*'10. Assumptions'!$E$13*'10. Assumptions'!$F$13*'10. Assumptions'!K13</f>
        <v>240000</v>
      </c>
      <c r="G8" s="2">
        <f>'10. Assumptions'!$D$13*'10. Assumptions'!$E$13*'10. Assumptions'!$F$13*'10. Assumptions'!L13</f>
        <v>240000</v>
      </c>
      <c r="H8" s="2">
        <f>'10. Assumptions'!$D$13*'10. Assumptions'!$E$13*'10. Assumptions'!$F$13*'10. Assumptions'!M13</f>
        <v>240000</v>
      </c>
      <c r="I8" s="2">
        <f>'10. Assumptions'!$D$13*'10. Assumptions'!$E$13*'10. Assumptions'!$F$13*'10. Assumptions'!N13</f>
        <v>240000</v>
      </c>
      <c r="J8" s="2">
        <f>'10. Assumptions'!$D$13*'10. Assumptions'!$E$13*'10. Assumptions'!$F$13*'10. Assumptions'!O13</f>
        <v>240000</v>
      </c>
      <c r="K8" s="2">
        <f>'10. Assumptions'!$D$13*'10. Assumptions'!$E$13*'10. Assumptions'!$F$13*'10. Assumptions'!P13</f>
        <v>240000</v>
      </c>
      <c r="L8" s="12">
        <f>'10. Assumptions'!$D$13*'10. Assumptions'!$E$13*'10. Assumptions'!$F$13*'10. Assumptions'!Q13</f>
        <v>240000</v>
      </c>
    </row>
    <row r="9" spans="1:13" x14ac:dyDescent="0.3">
      <c r="A9" s="7" t="s">
        <v>195</v>
      </c>
      <c r="B9" s="9"/>
      <c r="C9" s="2">
        <f>'10. Assumptions'!$D$12*'10. Assumptions'!$E$12*'10. Assumptions'!$F$12*'10. Assumptions'!H12</f>
        <v>0</v>
      </c>
      <c r="D9" s="2">
        <f>'10. Assumptions'!$D$12*'10. Assumptions'!$E$12*'10. Assumptions'!$F$12*'10. Assumptions'!I12</f>
        <v>120000</v>
      </c>
      <c r="E9" s="2">
        <f>'10. Assumptions'!$D$12*'10. Assumptions'!$E$12*'10. Assumptions'!$F$12*'10. Assumptions'!J12</f>
        <v>120000</v>
      </c>
      <c r="F9" s="2">
        <f>'10. Assumptions'!$D$12*'10. Assumptions'!$E$12*'10. Assumptions'!$F$12*'10. Assumptions'!K12</f>
        <v>120000</v>
      </c>
      <c r="G9" s="2">
        <f>'10. Assumptions'!$D$12*'10. Assumptions'!$E$12*'10. Assumptions'!$F$12*'10. Assumptions'!L12</f>
        <v>240000</v>
      </c>
      <c r="H9" s="2">
        <f>'10. Assumptions'!$D$12*'10. Assumptions'!$E$12*'10. Assumptions'!$F$12*'10. Assumptions'!M12</f>
        <v>240000</v>
      </c>
      <c r="I9" s="2">
        <f>'10. Assumptions'!$D$12*'10. Assumptions'!$E$12*'10. Assumptions'!$F$12*'10. Assumptions'!N12</f>
        <v>240000</v>
      </c>
      <c r="J9" s="2">
        <f>'10. Assumptions'!$D$12*'10. Assumptions'!$E$12*'10. Assumptions'!$F$12*'10. Assumptions'!O12</f>
        <v>240000</v>
      </c>
      <c r="K9" s="2">
        <f>'10. Assumptions'!$D$12*'10. Assumptions'!$E$12*'10. Assumptions'!$F$12*'10. Assumptions'!P12</f>
        <v>360000</v>
      </c>
      <c r="L9" s="12">
        <f>'10. Assumptions'!$D$12*'10. Assumptions'!$E$12*'10. Assumptions'!$F$12*'10. Assumptions'!Q12</f>
        <v>360000</v>
      </c>
    </row>
    <row r="10" spans="1:13" x14ac:dyDescent="0.3">
      <c r="A10" s="7" t="s">
        <v>81</v>
      </c>
      <c r="B10" s="9"/>
      <c r="C10" s="2">
        <f>('10. Assumptions'!$D$14*2*('10. Assumptions'!$E$70+'10. Assumptions'!$E$73))+('10. Assumptions'!$D$14*2*('10. Assumptions'!$E$71+'10. Assumptions'!$E$72))</f>
        <v>28800</v>
      </c>
      <c r="D10" s="2">
        <f>('10. Assumptions'!$D$14*2*('10. Assumptions'!$E$70+'10. Assumptions'!$E$73))+('10. Assumptions'!$D$14*2*('10. Assumptions'!$E$71+'10. Assumptions'!$E$72))</f>
        <v>28800</v>
      </c>
      <c r="E10" s="2">
        <f>('10. Assumptions'!$D$14*2*('10. Assumptions'!$E$70+'10. Assumptions'!$E$73))+('10. Assumptions'!$D$14*2*('10. Assumptions'!$E$71+'10. Assumptions'!$E$72))</f>
        <v>28800</v>
      </c>
      <c r="F10" s="2">
        <f>('10. Assumptions'!$D$14*2*('10. Assumptions'!$E$70+'10. Assumptions'!$E$73))+('10. Assumptions'!$D$14*2*('10. Assumptions'!$E$71+'10. Assumptions'!$E$72))</f>
        <v>28800</v>
      </c>
      <c r="G10" s="2">
        <f>('10. Assumptions'!$D$14*2*('10. Assumptions'!$E$70+'10. Assumptions'!$E$73))+('10. Assumptions'!$D$14*2*('10. Assumptions'!$E$71+'10. Assumptions'!$E$72))</f>
        <v>28800</v>
      </c>
      <c r="H10" s="2">
        <f>('10. Assumptions'!$D$14*2*('10. Assumptions'!$E$70+'10. Assumptions'!$E$73))+('10. Assumptions'!$D$14*2*('10. Assumptions'!$E$71+'10. Assumptions'!$E$72))</f>
        <v>28800</v>
      </c>
      <c r="I10" s="2">
        <f>('10. Assumptions'!$D$14*2*('10. Assumptions'!$E$70+'10. Assumptions'!$E$73))+('10. Assumptions'!$D$14*2*('10. Assumptions'!$E$71+'10. Assumptions'!$E$72))</f>
        <v>28800</v>
      </c>
      <c r="J10" s="2">
        <f>('10. Assumptions'!$D$14*2*('10. Assumptions'!$E$70+'10. Assumptions'!$E$73))+('10. Assumptions'!$D$14*2*('10. Assumptions'!$E$71+'10. Assumptions'!$E$72))</f>
        <v>28800</v>
      </c>
      <c r="K10" s="2">
        <f>('10. Assumptions'!$D$14*2*('10. Assumptions'!$E$70+'10. Assumptions'!$E$73))+('10. Assumptions'!$D$14*2*('10. Assumptions'!$E$71+'10. Assumptions'!$E$72))</f>
        <v>28800</v>
      </c>
      <c r="L10" s="12">
        <f>('10. Assumptions'!$D$14*2*('10. Assumptions'!$E$70+'10. Assumptions'!$E$73))+('10. Assumptions'!$D$14*2*('10. Assumptions'!$E$71+'10. Assumptions'!$E$72))</f>
        <v>28800</v>
      </c>
    </row>
    <row r="11" spans="1:13" x14ac:dyDescent="0.3">
      <c r="A11" s="7" t="s">
        <v>306</v>
      </c>
      <c r="B11" s="9"/>
      <c r="C11" s="2">
        <f>'10. Assumptions'!$D$53*'10. Assumptions'!$G$53*'10. Assumptions'!K53</f>
        <v>60000</v>
      </c>
      <c r="D11" s="2">
        <f>'10. Assumptions'!$D$53*'10. Assumptions'!$G$53*'10. Assumptions'!L53</f>
        <v>240000</v>
      </c>
      <c r="E11" s="2">
        <f>'10. Assumptions'!$D$53*'10. Assumptions'!$G$53*'10. Assumptions'!M53</f>
        <v>240000</v>
      </c>
      <c r="F11" s="2">
        <f>'10. Assumptions'!$D$53*'10. Assumptions'!$G$53*'10. Assumptions'!N53</f>
        <v>240000</v>
      </c>
      <c r="G11" s="2">
        <f>'10. Assumptions'!$D$53*'10. Assumptions'!$G$53*'10. Assumptions'!O53</f>
        <v>240000</v>
      </c>
      <c r="H11" s="2">
        <f>'10. Assumptions'!$D$53*'10. Assumptions'!$G$53*'10. Assumptions'!P53</f>
        <v>240000</v>
      </c>
      <c r="I11" s="2">
        <f>'10. Assumptions'!$D$53*'10. Assumptions'!$G$53*'10. Assumptions'!Q53</f>
        <v>240000</v>
      </c>
      <c r="J11" s="2">
        <f>'10. Assumptions'!$D$53*'10. Assumptions'!$G$53*'10. Assumptions'!R53</f>
        <v>240000</v>
      </c>
      <c r="K11" s="2">
        <f>'10. Assumptions'!$D$53*'10. Assumptions'!$G$53*'10. Assumptions'!S53</f>
        <v>240000</v>
      </c>
      <c r="L11" s="12">
        <f>'10. Assumptions'!$D$53*'10. Assumptions'!$G$53*'10. Assumptions'!T53</f>
        <v>240000</v>
      </c>
    </row>
    <row r="12" spans="1:13" x14ac:dyDescent="0.3">
      <c r="A12" s="7" t="s">
        <v>311</v>
      </c>
      <c r="B12" s="9"/>
      <c r="C12" s="2">
        <f>'10. Assumptions'!$D$55*'10. Assumptions'!$F$55*'10. Assumptions'!$J$55*'10. Assumptions'!K55</f>
        <v>10000</v>
      </c>
      <c r="D12" s="2">
        <f>'10. Assumptions'!$D$55*'10. Assumptions'!$F$55*'10. Assumptions'!$J$55*'10. Assumptions'!L55</f>
        <v>40000</v>
      </c>
      <c r="E12" s="2">
        <f>'10. Assumptions'!$D$55*'10. Assumptions'!$F$55*'10. Assumptions'!$J$55*'10. Assumptions'!M55</f>
        <v>40000</v>
      </c>
      <c r="F12" s="2">
        <f>'10. Assumptions'!$D$55*'10. Assumptions'!$F$55*'10. Assumptions'!$J$55*'10. Assumptions'!N55</f>
        <v>40000</v>
      </c>
      <c r="G12" s="2">
        <f>'10. Assumptions'!$D$55*'10. Assumptions'!$F$55*'10. Assumptions'!$J$55*'10. Assumptions'!O55</f>
        <v>40000</v>
      </c>
      <c r="H12" s="2">
        <f>'10. Assumptions'!$D$55*'10. Assumptions'!$F$55*'10. Assumptions'!$J$55*'10. Assumptions'!P55</f>
        <v>40000</v>
      </c>
      <c r="I12" s="2">
        <f>'10. Assumptions'!$D$55*'10. Assumptions'!$F$55*'10. Assumptions'!$J$55*'10. Assumptions'!Q55</f>
        <v>40000</v>
      </c>
      <c r="J12" s="2">
        <f>'10. Assumptions'!$D$55*'10. Assumptions'!$F$55*'10. Assumptions'!$J$55*'10. Assumptions'!R55</f>
        <v>40000</v>
      </c>
      <c r="K12" s="2">
        <f>'10. Assumptions'!$D$55*'10. Assumptions'!$F$55*'10. Assumptions'!$J$55*'10. Assumptions'!S55</f>
        <v>40000</v>
      </c>
      <c r="L12" s="12">
        <f>'10. Assumptions'!$D$55*'10. Assumptions'!$F$55*'10. Assumptions'!$J$55*'10. Assumptions'!T55</f>
        <v>40000</v>
      </c>
    </row>
    <row r="13" spans="1:13" x14ac:dyDescent="0.3">
      <c r="A13" s="7" t="s">
        <v>4</v>
      </c>
      <c r="B13" s="9"/>
      <c r="C13" s="2">
        <f>'10. Assumptions'!D155+'10. Assumptions'!M158</f>
        <v>343000</v>
      </c>
      <c r="D13" s="2">
        <f>'10. Assumptions'!$M$158</f>
        <v>43000</v>
      </c>
      <c r="E13" s="2">
        <f>'10. Assumptions'!$M$158</f>
        <v>43000</v>
      </c>
      <c r="F13" s="2">
        <f>'10. Assumptions'!$M$158</f>
        <v>43000</v>
      </c>
      <c r="G13" s="2">
        <f>'10. Assumptions'!$M$158</f>
        <v>43000</v>
      </c>
      <c r="H13" s="2">
        <f>'10. Assumptions'!$M$158</f>
        <v>43000</v>
      </c>
      <c r="I13" s="2">
        <f>'10. Assumptions'!$M$158</f>
        <v>43000</v>
      </c>
      <c r="J13" s="2">
        <f>'10. Assumptions'!$M$158</f>
        <v>43000</v>
      </c>
      <c r="K13" s="2">
        <f>'10. Assumptions'!$M$158</f>
        <v>43000</v>
      </c>
      <c r="L13" s="12">
        <f>'10. Assumptions'!$M$158</f>
        <v>43000</v>
      </c>
    </row>
    <row r="14" spans="1:13" x14ac:dyDescent="0.3">
      <c r="A14" s="7" t="s">
        <v>236</v>
      </c>
      <c r="B14" s="9"/>
      <c r="C14" s="2">
        <f>(('9. Investment Equipment'!F52-'9. Investment Equipment'!F42)*'10. Assumptions'!$G$45)+'10. Assumptions'!$G$46+'10. Assumptions'!$G$47*'10. Assumptions'!$D$74</f>
        <v>40790</v>
      </c>
      <c r="D14" s="2">
        <f>(('9. Investment Equipment'!G52-'9. Investment Equipment'!G42)*'10. Assumptions'!$G$45)+'10. Assumptions'!$G$46+'10. Assumptions'!$G$47*'10. Assumptions'!$D$74</f>
        <v>50790</v>
      </c>
      <c r="E14" s="2">
        <f>(('9. Investment Equipment'!H52-'9. Investment Equipment'!H42)*'10. Assumptions'!$G$45)+'10. Assumptions'!$G$46+'10. Assumptions'!$G$47*'10. Assumptions'!$D$74</f>
        <v>66790</v>
      </c>
      <c r="F14" s="2">
        <f>(('9. Investment Equipment'!I52-'9. Investment Equipment'!I42)*'10. Assumptions'!$G$45)+'10. Assumptions'!$G$46+'10. Assumptions'!$G$47*'10. Assumptions'!$D$74</f>
        <v>66790</v>
      </c>
      <c r="G14" s="2">
        <f>(('9. Investment Equipment'!J52-'9. Investment Equipment'!J42)*'10. Assumptions'!$G$45)+'10. Assumptions'!$G$46+'10. Assumptions'!$G$47*'10. Assumptions'!$D$74</f>
        <v>71290</v>
      </c>
      <c r="H14" s="2">
        <f>(('9. Investment Equipment'!K52-'9. Investment Equipment'!K42)*'10. Assumptions'!$G$45)+'10. Assumptions'!$G$46+'10. Assumptions'!$G$47*'10. Assumptions'!$D$74</f>
        <v>96090</v>
      </c>
      <c r="I14" s="2">
        <f>(('9. Investment Equipment'!L52-'9. Investment Equipment'!L42)*'10. Assumptions'!$G$45)+'10. Assumptions'!$G$46+'10. Assumptions'!$G$47*'10. Assumptions'!$D$74</f>
        <v>106090</v>
      </c>
      <c r="J14" s="2">
        <f>(('9. Investment Equipment'!M52-'9. Investment Equipment'!M42)*'10. Assumptions'!$G$45)+'10. Assumptions'!$G$46+'10. Assumptions'!$G$47*'10. Assumptions'!$D$74</f>
        <v>112090</v>
      </c>
      <c r="K14" s="2">
        <f>(('9. Investment Equipment'!N52-'9. Investment Equipment'!N42)*'10. Assumptions'!$G$45)+'10. Assumptions'!$G$46+'10. Assumptions'!$G$47*'10. Assumptions'!$D$74</f>
        <v>122590</v>
      </c>
      <c r="L14" s="12">
        <f>(('9. Investment Equipment'!O52-'9. Investment Equipment'!O42)*'10. Assumptions'!$G$45)+'10. Assumptions'!$G$46+'10. Assumptions'!$G$47*'10. Assumptions'!$D$74</f>
        <v>142590</v>
      </c>
    </row>
    <row r="15" spans="1:13" x14ac:dyDescent="0.3">
      <c r="A15" s="7" t="s">
        <v>216</v>
      </c>
      <c r="B15" s="9"/>
      <c r="C15" s="2">
        <f>'10. Assumptions'!$C$42*12*'10. Assumptions'!K42</f>
        <v>90000</v>
      </c>
      <c r="D15" s="2">
        <f>'10. Assumptions'!$C$42*12*'10. Assumptions'!L42</f>
        <v>360000</v>
      </c>
      <c r="E15" s="2">
        <f>'10. Assumptions'!$C$42*12*'10. Assumptions'!M42</f>
        <v>378000</v>
      </c>
      <c r="F15" s="2">
        <f>'10. Assumptions'!$C$42*12*'10. Assumptions'!N42</f>
        <v>396900</v>
      </c>
      <c r="G15" s="2">
        <f>'10. Assumptions'!$C$42*12*'10. Assumptions'!O42</f>
        <v>416745.00000000006</v>
      </c>
      <c r="H15" s="2">
        <f>'10. Assumptions'!$C$42*12*'10. Assumptions'!P42</f>
        <v>437582.25000000006</v>
      </c>
      <c r="I15" s="2">
        <f>'10. Assumptions'!$C$42*12*'10. Assumptions'!Q42</f>
        <v>459461.3625000001</v>
      </c>
      <c r="J15" s="2">
        <f>'10. Assumptions'!$C$42*12*'10. Assumptions'!R42</f>
        <v>482434.43062500015</v>
      </c>
      <c r="K15" s="2">
        <f>'10. Assumptions'!$C$42*12*'10. Assumptions'!S42</f>
        <v>506556.15215625014</v>
      </c>
      <c r="L15" s="12">
        <f>'10. Assumptions'!$C$42*12*'10. Assumptions'!T42</f>
        <v>531883.95976406266</v>
      </c>
    </row>
    <row r="16" spans="1:13" x14ac:dyDescent="0.3">
      <c r="A16" s="7" t="s">
        <v>307</v>
      </c>
      <c r="B16" s="9"/>
      <c r="C16" s="2">
        <f>'10. Assumptions'!$C$38*'10. Assumptions'!$E$38*'10. Assumptions'!K38</f>
        <v>6000</v>
      </c>
      <c r="D16" s="2">
        <f>'10. Assumptions'!$C$38*'10. Assumptions'!$E$38*'10. Assumptions'!L38</f>
        <v>24000</v>
      </c>
      <c r="E16" s="2">
        <f>'10. Assumptions'!$C$38*'10. Assumptions'!$E$38*'10. Assumptions'!M38</f>
        <v>24000</v>
      </c>
      <c r="F16" s="2">
        <f>'10. Assumptions'!$C$38*'10. Assumptions'!$E$38*'10. Assumptions'!N38</f>
        <v>24000</v>
      </c>
      <c r="G16" s="2">
        <f>'10. Assumptions'!$C$38*'10. Assumptions'!$E$38*'10. Assumptions'!O38</f>
        <v>24000</v>
      </c>
      <c r="H16" s="2">
        <f>'10. Assumptions'!$C$38*'10. Assumptions'!$E$38*'10. Assumptions'!P38</f>
        <v>24000</v>
      </c>
      <c r="I16" s="2">
        <f>'10. Assumptions'!$C$38*'10. Assumptions'!$E$38*'10. Assumptions'!Q38</f>
        <v>24000</v>
      </c>
      <c r="J16" s="2">
        <f>'10. Assumptions'!$C$38*'10. Assumptions'!$E$38*'10. Assumptions'!R38</f>
        <v>24000</v>
      </c>
      <c r="K16" s="2">
        <f>'10. Assumptions'!$C$38*'10. Assumptions'!$E$38*'10. Assumptions'!S38</f>
        <v>24000</v>
      </c>
      <c r="L16" s="12">
        <f>'10. Assumptions'!$C$38*'10. Assumptions'!$E$38*'10. Assumptions'!T38</f>
        <v>24000</v>
      </c>
    </row>
    <row r="17" spans="1:12" x14ac:dyDescent="0.3">
      <c r="A17" s="7" t="s">
        <v>308</v>
      </c>
      <c r="B17" s="9"/>
      <c r="C17" s="2">
        <f>'10. Assumptions'!$C$40*'10. Assumptions'!$E$40*'10. Assumptions'!K40</f>
        <v>3000</v>
      </c>
      <c r="D17" s="2">
        <f>'10. Assumptions'!$C$40*'10. Assumptions'!$E$40*'10. Assumptions'!L40</f>
        <v>12000</v>
      </c>
      <c r="E17" s="2">
        <f>'10. Assumptions'!$C$40*'10. Assumptions'!$E$40*'10. Assumptions'!M40</f>
        <v>12000</v>
      </c>
      <c r="F17" s="2">
        <f>'10. Assumptions'!$C$40*'10. Assumptions'!$E$40*'10. Assumptions'!N40</f>
        <v>12000</v>
      </c>
      <c r="G17" s="2">
        <f>'10. Assumptions'!$C$40*'10. Assumptions'!$E$40*'10. Assumptions'!O40</f>
        <v>12000</v>
      </c>
      <c r="H17" s="2">
        <f>'10. Assumptions'!$C$40*'10. Assumptions'!$E$40*'10. Assumptions'!P40</f>
        <v>12000</v>
      </c>
      <c r="I17" s="2">
        <f>'10. Assumptions'!$C$40*'10. Assumptions'!$E$40*'10. Assumptions'!Q40</f>
        <v>12000</v>
      </c>
      <c r="J17" s="2">
        <f>'10. Assumptions'!$C$40*'10. Assumptions'!$E$40*'10. Assumptions'!R40</f>
        <v>12000</v>
      </c>
      <c r="K17" s="2">
        <f>'10. Assumptions'!$C$40*'10. Assumptions'!$E$40*'10. Assumptions'!S40</f>
        <v>12000</v>
      </c>
      <c r="L17" s="12">
        <f>'10. Assumptions'!$C$40*'10. Assumptions'!$E$40*'10. Assumptions'!T40</f>
        <v>12000</v>
      </c>
    </row>
    <row r="18" spans="1:12" x14ac:dyDescent="0.3">
      <c r="A18" s="7" t="s">
        <v>137</v>
      </c>
      <c r="B18" s="9"/>
      <c r="C18" s="2">
        <f>'10. Assumptions'!$D$110*'10. Assumptions'!$E$110*'10. Assumptions'!F110</f>
        <v>0</v>
      </c>
      <c r="D18" s="2">
        <f>'10. Assumptions'!$D$110*'10. Assumptions'!$E$110*'10. Assumptions'!G110</f>
        <v>0</v>
      </c>
      <c r="E18" s="2">
        <f>'10. Assumptions'!$D$110*'10. Assumptions'!$E$110*'10. Assumptions'!H110</f>
        <v>0</v>
      </c>
      <c r="F18" s="2">
        <f>'10. Assumptions'!$D$110*'10. Assumptions'!$E$110*'10. Assumptions'!I110</f>
        <v>0</v>
      </c>
      <c r="G18" s="2">
        <f>'10. Assumptions'!$D$110*'10. Assumptions'!$E$110*'10. Assumptions'!J110</f>
        <v>0</v>
      </c>
      <c r="H18" s="2">
        <f>'10. Assumptions'!$D$110*'10. Assumptions'!$E$110*'10. Assumptions'!K110</f>
        <v>0</v>
      </c>
      <c r="I18" s="2">
        <f>'10. Assumptions'!$D$110*'10. Assumptions'!$E$110*'10. Assumptions'!L110</f>
        <v>0</v>
      </c>
      <c r="J18" s="2">
        <f>'10. Assumptions'!$D$110*'10. Assumptions'!$E$110*'10. Assumptions'!M110</f>
        <v>0</v>
      </c>
      <c r="K18" s="2">
        <f>'10. Assumptions'!$D$110*'10. Assumptions'!$E$110*'10. Assumptions'!N110</f>
        <v>0</v>
      </c>
      <c r="L18" s="12">
        <f>'10. Assumptions'!$D$110*'10. Assumptions'!$E$110*'10. Assumptions'!O110</f>
        <v>0</v>
      </c>
    </row>
    <row r="19" spans="1:12" x14ac:dyDescent="0.3">
      <c r="A19" s="7" t="s">
        <v>309</v>
      </c>
      <c r="B19" s="9"/>
      <c r="C19" s="2">
        <f>'10. Assumptions'!$D$112*'10. Assumptions'!$E$112*'10. Assumptions'!F112</f>
        <v>0</v>
      </c>
      <c r="D19" s="2">
        <f>'10. Assumptions'!$D$112*'10. Assumptions'!$E$112*'10. Assumptions'!G112</f>
        <v>0</v>
      </c>
      <c r="E19" s="2">
        <f>'10. Assumptions'!$D$112*'10. Assumptions'!$E$112*'10. Assumptions'!H112</f>
        <v>0</v>
      </c>
      <c r="F19" s="2">
        <f>'10. Assumptions'!$D$112*'10. Assumptions'!$E$112*'10. Assumptions'!I112</f>
        <v>0</v>
      </c>
      <c r="G19" s="2">
        <f>'10. Assumptions'!$D$112*'10. Assumptions'!$E$112*'10. Assumptions'!J112</f>
        <v>0</v>
      </c>
      <c r="H19" s="2">
        <f>'10. Assumptions'!$D$112*'10. Assumptions'!$E$112*'10. Assumptions'!K112</f>
        <v>0</v>
      </c>
      <c r="I19" s="2">
        <f>'10. Assumptions'!$D$112*'10. Assumptions'!$E$112*'10. Assumptions'!L112</f>
        <v>0</v>
      </c>
      <c r="J19" s="2">
        <f>'10. Assumptions'!$D$112*'10. Assumptions'!$E$112*'10. Assumptions'!M112</f>
        <v>0</v>
      </c>
      <c r="K19" s="2">
        <f>'10. Assumptions'!$D$112*'10. Assumptions'!$E$112*'10. Assumptions'!N112</f>
        <v>0</v>
      </c>
      <c r="L19" s="12">
        <f>'10. Assumptions'!$D$112*'10. Assumptions'!$E$112*'10. Assumptions'!O112</f>
        <v>0</v>
      </c>
    </row>
    <row r="20" spans="1:12" x14ac:dyDescent="0.3">
      <c r="A20" s="7" t="s">
        <v>310</v>
      </c>
      <c r="B20" s="9"/>
      <c r="C20" s="2">
        <f>'10. Assumptions'!F118</f>
        <v>0</v>
      </c>
      <c r="D20" s="2">
        <f>'10. Assumptions'!G118</f>
        <v>0</v>
      </c>
      <c r="E20" s="2">
        <f>'10. Assumptions'!H118</f>
        <v>0</v>
      </c>
      <c r="F20" s="2">
        <f>'10. Assumptions'!I118</f>
        <v>0</v>
      </c>
      <c r="G20" s="2">
        <f>'10. Assumptions'!J118</f>
        <v>0</v>
      </c>
      <c r="H20" s="2">
        <f>'10. Assumptions'!K118</f>
        <v>0</v>
      </c>
      <c r="I20" s="2">
        <f>'10. Assumptions'!L118</f>
        <v>0</v>
      </c>
      <c r="J20" s="2">
        <f>'10. Assumptions'!M118</f>
        <v>0</v>
      </c>
      <c r="K20" s="2">
        <f>'10. Assumptions'!N118</f>
        <v>0</v>
      </c>
      <c r="L20" s="12">
        <f>'10. Assumptions'!O118</f>
        <v>0</v>
      </c>
    </row>
    <row r="21" spans="1:12" x14ac:dyDescent="0.3">
      <c r="A21" s="7" t="s">
        <v>123</v>
      </c>
      <c r="B21" s="9"/>
      <c r="C21" s="2">
        <f>'10. Assumptions'!F122</f>
        <v>0</v>
      </c>
      <c r="D21" s="2">
        <f>'10. Assumptions'!G122</f>
        <v>0</v>
      </c>
      <c r="E21" s="2">
        <f>'10. Assumptions'!H122</f>
        <v>0</v>
      </c>
      <c r="F21" s="2">
        <f>'10. Assumptions'!I122</f>
        <v>0</v>
      </c>
      <c r="G21" s="2">
        <f>'10. Assumptions'!J122</f>
        <v>0</v>
      </c>
      <c r="H21" s="2">
        <f>'10. Assumptions'!K122</f>
        <v>0</v>
      </c>
      <c r="I21" s="2">
        <f>'10. Assumptions'!L122</f>
        <v>0</v>
      </c>
      <c r="J21" s="2">
        <f>'10. Assumptions'!M122</f>
        <v>0</v>
      </c>
      <c r="K21" s="2">
        <f>'10. Assumptions'!N122</f>
        <v>0</v>
      </c>
      <c r="L21" s="12">
        <f>'10. Assumptions'!O122</f>
        <v>0</v>
      </c>
    </row>
    <row r="22" spans="1:12" x14ac:dyDescent="0.3">
      <c r="A22" s="7" t="s">
        <v>312</v>
      </c>
      <c r="B22" s="9"/>
      <c r="C22" s="2">
        <f>'10. Assumptions'!$D$153*'10. Assumptions'!$F$153*'10. Assumptions'!G153</f>
        <v>10000</v>
      </c>
      <c r="D22" s="2">
        <f>'10. Assumptions'!$D$153*'10. Assumptions'!$F$153*'10. Assumptions'!H153</f>
        <v>10000</v>
      </c>
      <c r="E22" s="2">
        <f>'10. Assumptions'!$D$153*'10. Assumptions'!$F$153*'10. Assumptions'!I153</f>
        <v>12000</v>
      </c>
      <c r="F22" s="2">
        <f>'10. Assumptions'!$D$153*'10. Assumptions'!$F$153*'10. Assumptions'!J153</f>
        <v>12000</v>
      </c>
      <c r="G22" s="2">
        <f>'10. Assumptions'!$D$153*'10. Assumptions'!$F$153*'10. Assumptions'!K153</f>
        <v>15000</v>
      </c>
      <c r="H22" s="2">
        <f>'10. Assumptions'!$D$153*'10. Assumptions'!$F$153*'10. Assumptions'!L153</f>
        <v>15000</v>
      </c>
      <c r="I22" s="2">
        <f>'10. Assumptions'!$D$153*'10. Assumptions'!$F$153*'10. Assumptions'!M153</f>
        <v>17500</v>
      </c>
      <c r="J22" s="2">
        <f>'10. Assumptions'!$D$153*'10. Assumptions'!$F$153*'10. Assumptions'!N153</f>
        <v>17500</v>
      </c>
      <c r="K22" s="2">
        <f>'10. Assumptions'!$D$153*'10. Assumptions'!$F$153*'10. Assumptions'!O153</f>
        <v>20000</v>
      </c>
      <c r="L22" s="12">
        <f>'10. Assumptions'!$D$153*'10. Assumptions'!$F$153*'10. Assumptions'!P153</f>
        <v>20000</v>
      </c>
    </row>
    <row r="23" spans="1:12" x14ac:dyDescent="0.3">
      <c r="A23" s="7" t="s">
        <v>321</v>
      </c>
      <c r="B23" s="9"/>
      <c r="C23" s="48">
        <f>'10. Assumptions'!$C$164+'10. Assumptions'!$C$165</f>
        <v>19000</v>
      </c>
      <c r="D23" s="48">
        <f>'10. Assumptions'!$C$164+'10. Assumptions'!$C$165</f>
        <v>19000</v>
      </c>
      <c r="E23" s="48">
        <f>'10. Assumptions'!$C$164+'10. Assumptions'!$C$165</f>
        <v>19000</v>
      </c>
      <c r="F23" s="48">
        <f>'10. Assumptions'!$C$164+'10. Assumptions'!$C$165</f>
        <v>19000</v>
      </c>
      <c r="G23" s="48">
        <f>'10. Assumptions'!$C$164+'10. Assumptions'!$C$165</f>
        <v>19000</v>
      </c>
      <c r="H23" s="48">
        <f>'10. Assumptions'!$C$164+'10. Assumptions'!$C$165</f>
        <v>19000</v>
      </c>
      <c r="I23" s="48">
        <f>'10. Assumptions'!$C$164+'10. Assumptions'!$C$165</f>
        <v>19000</v>
      </c>
      <c r="J23" s="48">
        <f>'10. Assumptions'!$C$164+'10. Assumptions'!$C$165</f>
        <v>19000</v>
      </c>
      <c r="K23" s="48">
        <f>'10. Assumptions'!$C$164+'10. Assumptions'!$C$165</f>
        <v>19000</v>
      </c>
      <c r="L23" s="49">
        <f>'10. Assumptions'!$C$164+'10. Assumptions'!$C$165</f>
        <v>19000</v>
      </c>
    </row>
    <row r="24" spans="1:12" x14ac:dyDescent="0.3">
      <c r="A24" s="7"/>
      <c r="B24" s="9"/>
      <c r="C24" s="2">
        <f>SUM(C5:C23)</f>
        <v>895590</v>
      </c>
      <c r="D24" s="2">
        <f t="shared" ref="D24:L24" si="0">SUM(D5:D23)</f>
        <v>1907590</v>
      </c>
      <c r="E24" s="2">
        <f t="shared" si="0"/>
        <v>1943590</v>
      </c>
      <c r="F24" s="2">
        <f t="shared" si="0"/>
        <v>2142490</v>
      </c>
      <c r="G24" s="2">
        <f t="shared" si="0"/>
        <v>2289835</v>
      </c>
      <c r="H24" s="2">
        <f t="shared" si="0"/>
        <v>2335472.25</v>
      </c>
      <c r="I24" s="2">
        <f t="shared" si="0"/>
        <v>2369851.3625000003</v>
      </c>
      <c r="J24" s="2">
        <f t="shared" si="0"/>
        <v>2398824.430625</v>
      </c>
      <c r="K24" s="2">
        <f t="shared" si="0"/>
        <v>2555946.1521562501</v>
      </c>
      <c r="L24" s="12">
        <f t="shared" si="0"/>
        <v>2601273.9597640624</v>
      </c>
    </row>
    <row r="25" spans="1:12" x14ac:dyDescent="0.3">
      <c r="A25" s="7" t="s">
        <v>450</v>
      </c>
      <c r="B25" s="9"/>
      <c r="C25" s="48">
        <f>C24*'10. Assumptions'!$C$124</f>
        <v>89559</v>
      </c>
      <c r="D25" s="48">
        <f>D24*'10. Assumptions'!$C$124</f>
        <v>190759</v>
      </c>
      <c r="E25" s="48">
        <f>E24*'10. Assumptions'!$C$124</f>
        <v>194359</v>
      </c>
      <c r="F25" s="48">
        <f>F24*'10. Assumptions'!$C$124</f>
        <v>214249</v>
      </c>
      <c r="G25" s="48">
        <f>G24*'10. Assumptions'!$C$124</f>
        <v>228983.5</v>
      </c>
      <c r="H25" s="48">
        <f>H24*'10. Assumptions'!$C$124</f>
        <v>233547.22500000001</v>
      </c>
      <c r="I25" s="48">
        <f>I24*'10. Assumptions'!$C$124</f>
        <v>236985.13625000004</v>
      </c>
      <c r="J25" s="48">
        <f>J24*'10. Assumptions'!$C$124</f>
        <v>239882.44306250001</v>
      </c>
      <c r="K25" s="48">
        <f>K24*'10. Assumptions'!$C$124</f>
        <v>255594.61521562503</v>
      </c>
      <c r="L25" s="49">
        <f>L24*'10. Assumptions'!$C$124</f>
        <v>260127.39597640626</v>
      </c>
    </row>
    <row r="26" spans="1:12" x14ac:dyDescent="0.3">
      <c r="A26" s="7"/>
      <c r="B26" s="9"/>
      <c r="C26" s="48"/>
      <c r="D26" s="48"/>
      <c r="E26" s="48"/>
      <c r="F26" s="48"/>
      <c r="G26" s="48"/>
      <c r="H26" s="48"/>
      <c r="I26" s="48"/>
      <c r="J26" s="48"/>
      <c r="K26" s="48"/>
      <c r="L26" s="49"/>
    </row>
    <row r="27" spans="1:12" x14ac:dyDescent="0.3">
      <c r="A27" s="94" t="s">
        <v>453</v>
      </c>
      <c r="B27" s="91"/>
      <c r="C27" s="92">
        <f>C25+C24</f>
        <v>985149</v>
      </c>
      <c r="D27" s="92">
        <f t="shared" ref="D27:L27" si="1">D25+D24</f>
        <v>2098349</v>
      </c>
      <c r="E27" s="92">
        <f t="shared" si="1"/>
        <v>2137949</v>
      </c>
      <c r="F27" s="92">
        <f t="shared" si="1"/>
        <v>2356739</v>
      </c>
      <c r="G27" s="92">
        <f t="shared" si="1"/>
        <v>2518818.5</v>
      </c>
      <c r="H27" s="92">
        <f t="shared" si="1"/>
        <v>2569019.4750000001</v>
      </c>
      <c r="I27" s="92">
        <f t="shared" si="1"/>
        <v>2606836.4987500003</v>
      </c>
      <c r="J27" s="92">
        <f t="shared" si="1"/>
        <v>2638706.8736875001</v>
      </c>
      <c r="K27" s="92">
        <f t="shared" si="1"/>
        <v>2811540.7673718752</v>
      </c>
      <c r="L27" s="93">
        <f t="shared" si="1"/>
        <v>2861401.3557404685</v>
      </c>
    </row>
    <row r="31" spans="1:12" x14ac:dyDescent="0.3">
      <c r="A31" t="s">
        <v>80</v>
      </c>
    </row>
  </sheetData>
  <phoneticPr fontId="12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7"/>
  <sheetViews>
    <sheetView topLeftCell="A34" workbookViewId="0">
      <selection activeCell="D63" sqref="D63"/>
    </sheetView>
  </sheetViews>
  <sheetFormatPr defaultColWidth="11" defaultRowHeight="13.5" x14ac:dyDescent="0.3"/>
  <cols>
    <col min="2" max="2" width="18.15234375" customWidth="1"/>
    <col min="3" max="3" width="14.61328125" customWidth="1"/>
  </cols>
  <sheetData>
    <row r="1" spans="1:13" x14ac:dyDescent="0.3">
      <c r="A1" s="129" t="s">
        <v>467</v>
      </c>
    </row>
    <row r="2" spans="1:13" x14ac:dyDescent="0.3">
      <c r="A2" s="28"/>
      <c r="B2" s="4"/>
      <c r="C2" s="6"/>
      <c r="D2" s="88">
        <v>2019</v>
      </c>
      <c r="E2" s="88">
        <v>2020</v>
      </c>
      <c r="F2" s="88">
        <v>2021</v>
      </c>
      <c r="G2" s="88">
        <v>2022</v>
      </c>
      <c r="H2" s="88">
        <v>2023</v>
      </c>
      <c r="I2" s="88">
        <v>2024</v>
      </c>
      <c r="J2" s="88">
        <v>2025</v>
      </c>
      <c r="K2" s="88">
        <v>2026</v>
      </c>
      <c r="L2" s="88">
        <v>2027</v>
      </c>
      <c r="M2" s="89">
        <v>2028</v>
      </c>
    </row>
    <row r="3" spans="1:13" x14ac:dyDescent="0.3">
      <c r="A3" s="50" t="s">
        <v>360</v>
      </c>
      <c r="C3" s="9"/>
      <c r="M3" s="9"/>
    </row>
    <row r="4" spans="1:13" x14ac:dyDescent="0.3">
      <c r="A4" s="7"/>
      <c r="C4" s="9"/>
      <c r="M4" s="9"/>
    </row>
    <row r="5" spans="1:13" x14ac:dyDescent="0.3">
      <c r="A5" s="7" t="s">
        <v>41</v>
      </c>
      <c r="C5" s="9"/>
      <c r="D5" s="2">
        <f>'8 Production planning'!C7*'10. Assumptions'!$P$86</f>
        <v>0</v>
      </c>
      <c r="E5" s="2">
        <f>'8 Production planning'!D7*'10. Assumptions'!$P$86</f>
        <v>0</v>
      </c>
      <c r="F5" s="2">
        <f>'8 Production planning'!E7*'10. Assumptions'!$P$86</f>
        <v>0</v>
      </c>
      <c r="G5" s="2">
        <f>'8 Production planning'!F7*'10. Assumptions'!$P$86</f>
        <v>0</v>
      </c>
      <c r="H5" s="2">
        <f>'8 Production planning'!G7*'10. Assumptions'!$P$86</f>
        <v>0</v>
      </c>
      <c r="I5" s="2">
        <f>'8 Production planning'!H7*'10. Assumptions'!$P$86</f>
        <v>0</v>
      </c>
      <c r="J5" s="2">
        <f>'8 Production planning'!I7*'10. Assumptions'!$P$86</f>
        <v>0</v>
      </c>
      <c r="K5" s="2">
        <f>'8 Production planning'!J7*'10. Assumptions'!$P$86</f>
        <v>0</v>
      </c>
      <c r="L5" s="2">
        <f>'8 Production planning'!K7*'10. Assumptions'!$P$86</f>
        <v>0</v>
      </c>
      <c r="M5" s="12">
        <f>'8 Production planning'!L7*'10. Assumptions'!$P$86</f>
        <v>0</v>
      </c>
    </row>
    <row r="6" spans="1:13" x14ac:dyDescent="0.3">
      <c r="A6" s="7" t="s">
        <v>159</v>
      </c>
      <c r="C6" s="9"/>
      <c r="D6" s="48">
        <f>'10. Assumptions'!E89*'10. Assumptions'!$P$89</f>
        <v>0</v>
      </c>
      <c r="E6" s="48">
        <f>'10. Assumptions'!F89*'10. Assumptions'!$P$89</f>
        <v>0</v>
      </c>
      <c r="F6" s="48">
        <f>'10. Assumptions'!G89*'10. Assumptions'!$P$89</f>
        <v>0</v>
      </c>
      <c r="G6" s="48">
        <f>'10. Assumptions'!H89*'10. Assumptions'!$P$89</f>
        <v>0</v>
      </c>
      <c r="H6" s="48">
        <f>'10. Assumptions'!I89*'10. Assumptions'!$P$89</f>
        <v>0</v>
      </c>
      <c r="I6" s="48">
        <f>'10. Assumptions'!J89*'10. Assumptions'!$P$89</f>
        <v>0</v>
      </c>
      <c r="J6" s="48">
        <f>'10. Assumptions'!K89*'10. Assumptions'!$P$89</f>
        <v>0</v>
      </c>
      <c r="K6" s="48">
        <f>'10. Assumptions'!L89*'10. Assumptions'!$P$89</f>
        <v>0</v>
      </c>
      <c r="L6" s="48">
        <f>'10. Assumptions'!M89*'10. Assumptions'!$P$89</f>
        <v>0</v>
      </c>
      <c r="M6" s="49">
        <f>'10. Assumptions'!N89*'10. Assumptions'!$P$89</f>
        <v>0</v>
      </c>
    </row>
    <row r="7" spans="1:13" x14ac:dyDescent="0.3">
      <c r="A7" s="7" t="s">
        <v>42</v>
      </c>
      <c r="C7" s="9"/>
      <c r="D7" s="2">
        <f>D5+D6</f>
        <v>0</v>
      </c>
      <c r="E7" s="2">
        <f t="shared" ref="E7:M7" si="0">E5+E6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12">
        <f t="shared" si="0"/>
        <v>0</v>
      </c>
    </row>
    <row r="8" spans="1:13" x14ac:dyDescent="0.3">
      <c r="A8" s="7"/>
      <c r="C8" s="9"/>
      <c r="M8" s="9"/>
    </row>
    <row r="9" spans="1:13" x14ac:dyDescent="0.3">
      <c r="A9" s="7" t="s">
        <v>180</v>
      </c>
      <c r="C9" s="9"/>
      <c r="M9" s="9"/>
    </row>
    <row r="10" spans="1:13" x14ac:dyDescent="0.3">
      <c r="A10" s="7" t="s">
        <v>175</v>
      </c>
      <c r="C10" s="9"/>
      <c r="D10" s="2">
        <f>'10. Assumptions'!$F$15*'10. Assumptions'!H17</f>
        <v>40000</v>
      </c>
      <c r="E10" s="2">
        <f>'10. Assumptions'!$F$15*'10. Assumptions'!I17</f>
        <v>40000</v>
      </c>
      <c r="F10" s="2">
        <f>'10. Assumptions'!$F$15*'10. Assumptions'!J17</f>
        <v>40000</v>
      </c>
      <c r="G10" s="2">
        <f>'10. Assumptions'!$F$15*'10. Assumptions'!K17</f>
        <v>40000</v>
      </c>
      <c r="H10" s="2">
        <f>'10. Assumptions'!$F$15*'10. Assumptions'!L17</f>
        <v>40000</v>
      </c>
      <c r="I10" s="2">
        <f>'10. Assumptions'!$F$15*'10. Assumptions'!M17</f>
        <v>40000</v>
      </c>
      <c r="J10" s="2">
        <f>'10. Assumptions'!$F$15*'10. Assumptions'!N17</f>
        <v>80000</v>
      </c>
      <c r="K10" s="2">
        <f>'10. Assumptions'!$F$15*'10. Assumptions'!O17</f>
        <v>80000</v>
      </c>
      <c r="L10" s="2">
        <f>'10. Assumptions'!$F$15*'10. Assumptions'!P17</f>
        <v>80000</v>
      </c>
      <c r="M10" s="12">
        <f>'10. Assumptions'!$F$15*'10. Assumptions'!Q17</f>
        <v>80000</v>
      </c>
    </row>
    <row r="11" spans="1:13" x14ac:dyDescent="0.3">
      <c r="A11" s="7" t="s">
        <v>3</v>
      </c>
      <c r="C11" s="9"/>
      <c r="D11" s="2">
        <f>'10. Assumptions'!$D$74*'10. Assumptions'!$E$146*'10. Assumptions'!$D$146*'10. Assumptions'!F146</f>
        <v>42000</v>
      </c>
      <c r="E11" s="2">
        <f>'10. Assumptions'!$D$74*'10. Assumptions'!$E$146*'10. Assumptions'!$D$146*'10. Assumptions'!G146</f>
        <v>42000</v>
      </c>
      <c r="F11" s="2">
        <f>'10. Assumptions'!$D$74*'10. Assumptions'!$E$146*'10. Assumptions'!$D$146*'10. Assumptions'!H146</f>
        <v>42000</v>
      </c>
      <c r="G11" s="2">
        <f>'10. Assumptions'!$D$74*'10. Assumptions'!$E$146*'10. Assumptions'!$D$146*'10. Assumptions'!I146</f>
        <v>84000</v>
      </c>
      <c r="H11" s="2">
        <f>'10. Assumptions'!$D$74*'10. Assumptions'!$E$146*'10. Assumptions'!$D$146*'10. Assumptions'!J146</f>
        <v>84000</v>
      </c>
      <c r="I11" s="2">
        <f>'10. Assumptions'!$D$74*'10. Assumptions'!$E$146*'10. Assumptions'!$D$146*'10. Assumptions'!K146</f>
        <v>84000</v>
      </c>
      <c r="J11" s="2">
        <f>'10. Assumptions'!$D$74*'10. Assumptions'!$E$146*'10. Assumptions'!$D$146*'10. Assumptions'!L146</f>
        <v>126000</v>
      </c>
      <c r="K11" s="2">
        <f>'10. Assumptions'!$D$74*'10. Assumptions'!$E$146*'10. Assumptions'!$D$146*'10. Assumptions'!M146</f>
        <v>126000</v>
      </c>
      <c r="L11" s="2">
        <f>'10. Assumptions'!$D$74*'10. Assumptions'!$E$146*'10. Assumptions'!$D$146*'10. Assumptions'!N146</f>
        <v>126000</v>
      </c>
      <c r="M11" s="12">
        <f>'10. Assumptions'!$D$74*'10. Assumptions'!$E$146*'10. Assumptions'!$D$146*'10. Assumptions'!O146</f>
        <v>126000</v>
      </c>
    </row>
    <row r="12" spans="1:13" x14ac:dyDescent="0.3">
      <c r="A12" s="7" t="s">
        <v>176</v>
      </c>
      <c r="C12" s="9"/>
      <c r="D12" s="2">
        <f>'10. Assumptions'!H19*'10. Assumptions'!$F$19*'10. Assumptions'!$E$19</f>
        <v>16000</v>
      </c>
      <c r="E12" s="2">
        <f>'10. Assumptions'!I19*'10. Assumptions'!$F$19*'10. Assumptions'!$E$19</f>
        <v>16000</v>
      </c>
      <c r="F12" s="2">
        <f>'10. Assumptions'!J19*'10. Assumptions'!$F$19*'10. Assumptions'!$E$19</f>
        <v>16000</v>
      </c>
      <c r="G12" s="2">
        <f>'10. Assumptions'!K19*'10. Assumptions'!$F$19*'10. Assumptions'!$E$19</f>
        <v>16000</v>
      </c>
      <c r="H12" s="2">
        <f>'10. Assumptions'!L19*'10. Assumptions'!$F$19*'10. Assumptions'!$E$19</f>
        <v>16000</v>
      </c>
      <c r="I12" s="2">
        <f>'10. Assumptions'!M19*'10. Assumptions'!$F$19*'10. Assumptions'!$E$19</f>
        <v>16000</v>
      </c>
      <c r="J12" s="2">
        <f>'10. Assumptions'!N19*'10. Assumptions'!$F$19*'10. Assumptions'!$E$19</f>
        <v>32000</v>
      </c>
      <c r="K12" s="2">
        <f>'10. Assumptions'!O19*'10. Assumptions'!$F$19*'10. Assumptions'!$E$19</f>
        <v>32000</v>
      </c>
      <c r="L12" s="2">
        <f>'10. Assumptions'!P19*'10. Assumptions'!$F$19*'10. Assumptions'!$E$19</f>
        <v>32000</v>
      </c>
      <c r="M12" s="12">
        <f>'10. Assumptions'!Q19*'10. Assumptions'!$F$19*'10. Assumptions'!$E$19</f>
        <v>32000</v>
      </c>
    </row>
    <row r="13" spans="1:13" x14ac:dyDescent="0.3">
      <c r="A13" s="7" t="s">
        <v>338</v>
      </c>
      <c r="C13" s="9"/>
      <c r="D13" s="2">
        <f>'10. Assumptions'!E89*'10. Assumptions'!$P$89</f>
        <v>0</v>
      </c>
      <c r="E13" s="2">
        <f>'10. Assumptions'!F89*'10. Assumptions'!$P$89</f>
        <v>0</v>
      </c>
      <c r="F13" s="2">
        <f>'10. Assumptions'!G89*'10. Assumptions'!$P$89</f>
        <v>0</v>
      </c>
      <c r="G13" s="2">
        <f>'10. Assumptions'!H89*'10. Assumptions'!$P$89</f>
        <v>0</v>
      </c>
      <c r="H13" s="2">
        <f>'10. Assumptions'!I89*'10. Assumptions'!$P$89</f>
        <v>0</v>
      </c>
      <c r="I13" s="2">
        <f>'10. Assumptions'!J89*'10. Assumptions'!$P$89</f>
        <v>0</v>
      </c>
      <c r="J13" s="2">
        <f>'10. Assumptions'!K89*'10. Assumptions'!$P$89</f>
        <v>0</v>
      </c>
      <c r="K13" s="2">
        <f>'10. Assumptions'!L89*'10. Assumptions'!$P$89</f>
        <v>0</v>
      </c>
      <c r="L13" s="2">
        <f>'10. Assumptions'!M89*'10. Assumptions'!$P$89</f>
        <v>0</v>
      </c>
      <c r="M13" s="12">
        <f>'10. Assumptions'!N89*'10. Assumptions'!$P$89</f>
        <v>0</v>
      </c>
    </row>
    <row r="14" spans="1:13" x14ac:dyDescent="0.3">
      <c r="A14" s="7" t="s">
        <v>337</v>
      </c>
      <c r="C14" s="9"/>
      <c r="D14" s="2">
        <f>'10. Assumptions'!E89*'10. Assumptions'!$E$97</f>
        <v>666.66666666666663</v>
      </c>
      <c r="E14" s="2">
        <f>'10. Assumptions'!F89*'10. Assumptions'!$E$97</f>
        <v>766.66666666666663</v>
      </c>
      <c r="F14" s="2">
        <f>'10. Assumptions'!G89*'10. Assumptions'!$E$97</f>
        <v>881.66666666666652</v>
      </c>
      <c r="G14" s="2">
        <f>'10. Assumptions'!H89*'10. Assumptions'!$E$97</f>
        <v>1013.9166666666664</v>
      </c>
      <c r="H14" s="2">
        <f>'10. Assumptions'!I89*'10. Assumptions'!$E$97</f>
        <v>1166.0041666666662</v>
      </c>
      <c r="I14" s="2">
        <f>'10. Assumptions'!J89*'10. Assumptions'!$E$97</f>
        <v>1340.9047916666661</v>
      </c>
      <c r="J14" s="2">
        <f>'10. Assumptions'!K89*'10. Assumptions'!$E$97</f>
        <v>1542.0405104166659</v>
      </c>
      <c r="K14" s="2">
        <f>'10. Assumptions'!L89*'10. Assumptions'!$E$97</f>
        <v>1773.3465869791655</v>
      </c>
      <c r="L14" s="2">
        <f>'10. Assumptions'!M89*'10. Assumptions'!$E$97</f>
        <v>2039.3485750260402</v>
      </c>
      <c r="M14" s="12">
        <f>'10. Assumptions'!N89*'10. Assumptions'!$E$97</f>
        <v>2345.2508612799456</v>
      </c>
    </row>
    <row r="15" spans="1:13" x14ac:dyDescent="0.3">
      <c r="A15" s="7" t="s">
        <v>177</v>
      </c>
      <c r="C15" s="9"/>
      <c r="D15" s="48">
        <f>'10. Assumptions'!H21*'10. Assumptions'!$E$21*'10. Assumptions'!$F$21</f>
        <v>4000</v>
      </c>
      <c r="E15" s="48">
        <f>'10. Assumptions'!I21*'10. Assumptions'!$E$21*'10. Assumptions'!$F$21</f>
        <v>4000</v>
      </c>
      <c r="F15" s="48">
        <f>'10. Assumptions'!J21*'10. Assumptions'!$E$21*'10. Assumptions'!$F$21</f>
        <v>4000</v>
      </c>
      <c r="G15" s="48">
        <f>'10. Assumptions'!K21*'10. Assumptions'!$E$21*'10. Assumptions'!$F$21</f>
        <v>4000</v>
      </c>
      <c r="H15" s="48">
        <f>'10. Assumptions'!L21*'10. Assumptions'!$E$21*'10. Assumptions'!$F$21</f>
        <v>4000</v>
      </c>
      <c r="I15" s="48">
        <f>'10. Assumptions'!M21*'10. Assumptions'!$E$21*'10. Assumptions'!$F$21</f>
        <v>4000</v>
      </c>
      <c r="J15" s="48">
        <f>'10. Assumptions'!N21*'10. Assumptions'!$E$21*'10. Assumptions'!$F$21</f>
        <v>8000</v>
      </c>
      <c r="K15" s="48">
        <f>'10. Assumptions'!O21*'10. Assumptions'!$E$21*'10. Assumptions'!$F$21</f>
        <v>8000</v>
      </c>
      <c r="L15" s="48">
        <f>'10. Assumptions'!P21*'10. Assumptions'!$E$21*'10. Assumptions'!$F$21</f>
        <v>8000</v>
      </c>
      <c r="M15" s="49">
        <f>'10. Assumptions'!Q21*'10. Assumptions'!$E$21*'10. Assumptions'!$F$21</f>
        <v>8000</v>
      </c>
    </row>
    <row r="16" spans="1:13" x14ac:dyDescent="0.3">
      <c r="A16" s="7" t="s">
        <v>181</v>
      </c>
      <c r="C16" s="9"/>
      <c r="D16" s="2">
        <f>SUM(D10:D15)</f>
        <v>102666.66666666667</v>
      </c>
      <c r="E16" s="2">
        <f t="shared" ref="E16:M16" si="1">SUM(E10:E15)</f>
        <v>102766.66666666667</v>
      </c>
      <c r="F16" s="2">
        <f t="shared" si="1"/>
        <v>102881.66666666667</v>
      </c>
      <c r="G16" s="2">
        <f t="shared" si="1"/>
        <v>145013.91666666666</v>
      </c>
      <c r="H16" s="2">
        <f t="shared" si="1"/>
        <v>145166.00416666668</v>
      </c>
      <c r="I16" s="2">
        <f t="shared" si="1"/>
        <v>145340.90479166666</v>
      </c>
      <c r="J16" s="2">
        <f t="shared" si="1"/>
        <v>247542.04051041667</v>
      </c>
      <c r="K16" s="2">
        <f t="shared" si="1"/>
        <v>247773.34658697917</v>
      </c>
      <c r="L16" s="2">
        <f t="shared" si="1"/>
        <v>248039.34857502603</v>
      </c>
      <c r="M16" s="12">
        <f t="shared" si="1"/>
        <v>248345.25086127996</v>
      </c>
    </row>
    <row r="17" spans="1:13" x14ac:dyDescent="0.3">
      <c r="A17" s="7"/>
      <c r="C17" s="9"/>
      <c r="M17" s="9"/>
    </row>
    <row r="18" spans="1:13" x14ac:dyDescent="0.3">
      <c r="A18" s="7" t="s">
        <v>149</v>
      </c>
      <c r="C18" s="9"/>
      <c r="D18" s="48">
        <f>'10. Assumptions'!G149*'10. Assumptions'!$E$149</f>
        <v>11500</v>
      </c>
      <c r="E18" s="48">
        <f>'10. Assumptions'!H149*'10. Assumptions'!$E$149</f>
        <v>13224.999999999998</v>
      </c>
      <c r="F18" s="48">
        <f>'10. Assumptions'!I149*'10. Assumptions'!$E$149</f>
        <v>15208.749999999995</v>
      </c>
      <c r="G18" s="48">
        <f>'10. Assumptions'!J149*'10. Assumptions'!$E$149</f>
        <v>17490.062499999993</v>
      </c>
      <c r="H18" s="48">
        <f>'10. Assumptions'!K149*'10. Assumptions'!$E$149</f>
        <v>20113.571874999991</v>
      </c>
      <c r="I18" s="48">
        <f>'10. Assumptions'!L149*'10. Assumptions'!$E$149</f>
        <v>23130.607656249987</v>
      </c>
      <c r="J18" s="48">
        <f>'10. Assumptions'!M149*'10. Assumptions'!$E$149</f>
        <v>26600.198804687483</v>
      </c>
      <c r="K18" s="48">
        <f>'10. Assumptions'!N149*'10. Assumptions'!$E$149</f>
        <v>30590.228625390602</v>
      </c>
      <c r="L18" s="48">
        <f>'10. Assumptions'!O149*'10. Assumptions'!$E$149</f>
        <v>35178.762919199187</v>
      </c>
      <c r="M18" s="49">
        <f>'10. Assumptions'!P149*'10. Assumptions'!$E$149</f>
        <v>0</v>
      </c>
    </row>
    <row r="19" spans="1:13" x14ac:dyDescent="0.3">
      <c r="A19" s="7"/>
      <c r="C19" s="9"/>
      <c r="M19" s="9"/>
    </row>
    <row r="20" spans="1:13" x14ac:dyDescent="0.3">
      <c r="A20" s="94" t="s">
        <v>361</v>
      </c>
      <c r="B20" s="14"/>
      <c r="C20" s="32"/>
      <c r="D20" s="74">
        <f>D7+D16+D18</f>
        <v>114166.66666666667</v>
      </c>
      <c r="E20" s="74">
        <f t="shared" ref="E20:M20" si="2">E7+E16+E18</f>
        <v>115991.66666666667</v>
      </c>
      <c r="F20" s="74">
        <f t="shared" si="2"/>
        <v>118090.41666666667</v>
      </c>
      <c r="G20" s="74">
        <f t="shared" si="2"/>
        <v>162503.97916666666</v>
      </c>
      <c r="H20" s="74">
        <f t="shared" si="2"/>
        <v>165279.57604166667</v>
      </c>
      <c r="I20" s="74">
        <f t="shared" si="2"/>
        <v>168471.51244791664</v>
      </c>
      <c r="J20" s="74">
        <f t="shared" si="2"/>
        <v>274142.23931510415</v>
      </c>
      <c r="K20" s="74">
        <f t="shared" si="2"/>
        <v>278363.57521236979</v>
      </c>
      <c r="L20" s="74">
        <f t="shared" si="2"/>
        <v>283218.11149422522</v>
      </c>
      <c r="M20" s="75">
        <f t="shared" si="2"/>
        <v>248345.25086127996</v>
      </c>
    </row>
    <row r="23" spans="1:13" x14ac:dyDescent="0.3">
      <c r="A23" s="23" t="s">
        <v>362</v>
      </c>
      <c r="B23" s="4"/>
      <c r="C23" s="6"/>
      <c r="D23" s="4"/>
      <c r="E23" s="4"/>
      <c r="F23" s="4"/>
      <c r="G23" s="4"/>
      <c r="H23" s="4"/>
      <c r="I23" s="4"/>
      <c r="J23" s="4"/>
      <c r="K23" s="4"/>
      <c r="L23" s="4"/>
      <c r="M23" s="6"/>
    </row>
    <row r="24" spans="1:13" x14ac:dyDescent="0.3">
      <c r="A24" s="7"/>
      <c r="C24" s="9"/>
      <c r="D24" s="76">
        <v>2019</v>
      </c>
      <c r="E24" s="77">
        <v>2020</v>
      </c>
      <c r="F24" s="77">
        <v>2021</v>
      </c>
      <c r="G24" s="77">
        <v>2022</v>
      </c>
      <c r="H24" s="77">
        <v>2023</v>
      </c>
      <c r="I24" s="77">
        <v>2024</v>
      </c>
      <c r="J24" s="77">
        <v>2025</v>
      </c>
      <c r="K24" s="77">
        <v>2026</v>
      </c>
      <c r="L24" s="77">
        <v>2027</v>
      </c>
      <c r="M24" s="78">
        <v>2028</v>
      </c>
    </row>
    <row r="25" spans="1:13" x14ac:dyDescent="0.3">
      <c r="A25" s="50" t="s">
        <v>363</v>
      </c>
      <c r="C25" s="9"/>
      <c r="M25" s="9"/>
    </row>
    <row r="26" spans="1:13" x14ac:dyDescent="0.3">
      <c r="A26" s="7"/>
      <c r="C26" s="9"/>
      <c r="M26" s="9"/>
    </row>
    <row r="27" spans="1:13" x14ac:dyDescent="0.3">
      <c r="A27" s="7" t="s">
        <v>332</v>
      </c>
      <c r="C27" s="9"/>
      <c r="M27" s="9"/>
    </row>
    <row r="28" spans="1:13" x14ac:dyDescent="0.3">
      <c r="A28" s="7" t="s">
        <v>333</v>
      </c>
      <c r="C28" s="9"/>
      <c r="D28">
        <f>'10. Assumptions'!$C$34*'10. Assumptions'!$E$34*'10. Assumptions'!K34</f>
        <v>0</v>
      </c>
      <c r="E28">
        <f>'10. Assumptions'!$C$34*'10. Assumptions'!$E$34*'10. Assumptions'!L34</f>
        <v>8000</v>
      </c>
      <c r="F28">
        <f>'10. Assumptions'!$C$34*'10. Assumptions'!$E$34*'10. Assumptions'!M34</f>
        <v>16000</v>
      </c>
      <c r="G28">
        <f>'10. Assumptions'!$C$34*'10. Assumptions'!$E$34*'10. Assumptions'!N34</f>
        <v>16000</v>
      </c>
      <c r="H28">
        <f>'10. Assumptions'!$C$34*'10. Assumptions'!$E$34*'10. Assumptions'!O34</f>
        <v>16000</v>
      </c>
      <c r="I28">
        <f>'10. Assumptions'!$C$34*'10. Assumptions'!$E$34*'10. Assumptions'!P34</f>
        <v>24000</v>
      </c>
      <c r="J28">
        <f>'10. Assumptions'!$C$34*'10. Assumptions'!$E$34*'10. Assumptions'!Q34</f>
        <v>24000</v>
      </c>
      <c r="K28">
        <f>'10. Assumptions'!$C$34*'10. Assumptions'!$E$34*'10. Assumptions'!R34</f>
        <v>32000</v>
      </c>
      <c r="L28">
        <f>'10. Assumptions'!$C$34*'10. Assumptions'!$E$34*'10. Assumptions'!S34</f>
        <v>40000</v>
      </c>
      <c r="M28" s="9">
        <f>'10. Assumptions'!$C$34*'10. Assumptions'!$E$34*'10. Assumptions'!T34</f>
        <v>40000</v>
      </c>
    </row>
    <row r="29" spans="1:13" x14ac:dyDescent="0.3">
      <c r="A29" s="7" t="s">
        <v>334</v>
      </c>
      <c r="C29" s="9"/>
      <c r="D29">
        <v>0</v>
      </c>
      <c r="E29" s="2">
        <f>'8 Production planning'!D40*'10. Assumptions'!$D$10*'10. Assumptions'!$E$10*'10. Assumptions'!$F$10</f>
        <v>40000</v>
      </c>
      <c r="F29" s="2">
        <f>'8 Production planning'!E40*'10. Assumptions'!$D$10*'10. Assumptions'!$E$10*'10. Assumptions'!$F$10</f>
        <v>80000</v>
      </c>
      <c r="G29" s="2">
        <f>'8 Production planning'!F40*'10. Assumptions'!$D$10*'10. Assumptions'!$E$10*'10. Assumptions'!$F$10</f>
        <v>80000</v>
      </c>
      <c r="H29" s="2">
        <f>'8 Production planning'!G40*'10. Assumptions'!$D$10*'10. Assumptions'!$E$10*'10. Assumptions'!$F$10</f>
        <v>80000</v>
      </c>
      <c r="I29" s="2">
        <f>'8 Production planning'!H40*'10. Assumptions'!$D$10*'10. Assumptions'!$E$10*'10. Assumptions'!$F$10</f>
        <v>120000</v>
      </c>
      <c r="J29" s="2">
        <f>'8 Production planning'!I40*'10. Assumptions'!$D$10*'10. Assumptions'!$E$10*'10. Assumptions'!$F$10</f>
        <v>120000</v>
      </c>
      <c r="K29" s="2">
        <f>'8 Production planning'!J40*'10. Assumptions'!$D$10*'10. Assumptions'!$E$10*'10. Assumptions'!$F$10</f>
        <v>160000</v>
      </c>
      <c r="L29" s="2">
        <f>'8 Production planning'!K40*'10. Assumptions'!$D$10*'10. Assumptions'!$E$10*'10. Assumptions'!$F$10</f>
        <v>200000</v>
      </c>
      <c r="M29" s="12">
        <f>'8 Production planning'!L40*'10. Assumptions'!$D$10*'10. Assumptions'!$E$10*'10. Assumptions'!$F$10</f>
        <v>200000</v>
      </c>
    </row>
    <row r="30" spans="1:13" x14ac:dyDescent="0.3">
      <c r="A30" s="7" t="s">
        <v>278</v>
      </c>
      <c r="C30" s="9"/>
      <c r="D30">
        <v>0</v>
      </c>
      <c r="E30" s="2">
        <f>'10. Assumptions'!$H$58*'10. Assumptions'!$H$49*'8 Production planning'!D40</f>
        <v>15000</v>
      </c>
      <c r="F30" s="2">
        <f>'10. Assumptions'!$H$58*'10. Assumptions'!$H$49*'8 Production planning'!E40</f>
        <v>30000</v>
      </c>
      <c r="G30" s="2">
        <f>'10. Assumptions'!$H$58*'10. Assumptions'!$H$49*'8 Production planning'!F40</f>
        <v>30000</v>
      </c>
      <c r="H30" s="2">
        <f>'10. Assumptions'!$H$58*'10. Assumptions'!$H$49*'8 Production planning'!G40</f>
        <v>30000</v>
      </c>
      <c r="I30" s="2">
        <f>'10. Assumptions'!$H$58*'10. Assumptions'!$H$49*'8 Production planning'!H40</f>
        <v>45000</v>
      </c>
      <c r="J30" s="2">
        <f>'10. Assumptions'!$H$58*'10. Assumptions'!$H$49*'8 Production planning'!I40</f>
        <v>45000</v>
      </c>
      <c r="K30" s="2">
        <f>'10. Assumptions'!$H$58*'10. Assumptions'!$H$49*'8 Production planning'!J40</f>
        <v>60000</v>
      </c>
      <c r="L30" s="2">
        <f>'10. Assumptions'!$H$58*'10. Assumptions'!$H$49*'8 Production planning'!K40</f>
        <v>75000</v>
      </c>
      <c r="M30" s="12">
        <f>'10. Assumptions'!$H$58*'10. Assumptions'!$H$49*'8 Production planning'!L40</f>
        <v>75000</v>
      </c>
    </row>
    <row r="31" spans="1:13" x14ac:dyDescent="0.3">
      <c r="A31" s="7" t="s">
        <v>337</v>
      </c>
      <c r="C31" s="9"/>
      <c r="D31">
        <v>0</v>
      </c>
      <c r="E31" s="2">
        <f>'8 Production planning'!D43*'10. Assumptions'!$E$97</f>
        <v>400</v>
      </c>
      <c r="F31" s="2">
        <f>'8 Production planning'!E43*'10. Assumptions'!$E$97</f>
        <v>460</v>
      </c>
      <c r="G31" s="2">
        <f>'8 Production planning'!F43*'10. Assumptions'!$E$97</f>
        <v>529</v>
      </c>
      <c r="H31" s="2">
        <f>'8 Production planning'!G43*'10. Assumptions'!$E$97</f>
        <v>608.34999999999991</v>
      </c>
      <c r="I31" s="2">
        <f>'8 Production planning'!H43*'10. Assumptions'!$E$97</f>
        <v>699.60249999999974</v>
      </c>
      <c r="J31" s="2">
        <f>'8 Production planning'!I43*'10. Assumptions'!$E$97</f>
        <v>804.54287499999964</v>
      </c>
      <c r="K31" s="2">
        <f>'8 Production planning'!J43*'10. Assumptions'!$E$97</f>
        <v>925.22430624999959</v>
      </c>
      <c r="L31" s="2">
        <f>'8 Production planning'!K43*'10. Assumptions'!$E$97</f>
        <v>1064.0079521874993</v>
      </c>
      <c r="M31" s="12">
        <f>'8 Production planning'!L43*'10. Assumptions'!$E$97</f>
        <v>1223.6091450156241</v>
      </c>
    </row>
    <row r="32" spans="1:13" x14ac:dyDescent="0.3">
      <c r="A32" s="7" t="s">
        <v>263</v>
      </c>
      <c r="C32" s="9"/>
      <c r="D32" s="95">
        <v>0</v>
      </c>
      <c r="E32" s="48">
        <f>'8 Production planning'!D43*'10. Assumptions'!$P$89</f>
        <v>0</v>
      </c>
      <c r="F32" s="48">
        <f>'8 Production planning'!E43*'10. Assumptions'!$P$89</f>
        <v>0</v>
      </c>
      <c r="G32" s="48">
        <f>'8 Production planning'!F43*'10. Assumptions'!$P$89</f>
        <v>0</v>
      </c>
      <c r="H32" s="48">
        <f>'8 Production planning'!G43*'10. Assumptions'!$P$89</f>
        <v>0</v>
      </c>
      <c r="I32" s="48">
        <f>'8 Production planning'!H43*'10. Assumptions'!$P$89</f>
        <v>0</v>
      </c>
      <c r="J32" s="48">
        <f>'8 Production planning'!I43*'10. Assumptions'!$P$89</f>
        <v>0</v>
      </c>
      <c r="K32" s="48">
        <f>'8 Production planning'!J43*'10. Assumptions'!$P$89</f>
        <v>0</v>
      </c>
      <c r="L32" s="48">
        <f>'8 Production planning'!K43*'10. Assumptions'!$P$89</f>
        <v>0</v>
      </c>
      <c r="M32" s="49">
        <f>'8 Production planning'!L43*'10. Assumptions'!$P$89</f>
        <v>0</v>
      </c>
    </row>
    <row r="33" spans="1:13" x14ac:dyDescent="0.3">
      <c r="A33" s="7"/>
      <c r="C33" s="9"/>
      <c r="D33">
        <f>SUM(D28:D32)</f>
        <v>0</v>
      </c>
      <c r="E33" s="2">
        <f>SUM(E28:E32)</f>
        <v>63400</v>
      </c>
      <c r="F33" s="2">
        <f t="shared" ref="F33:M33" si="3">SUM(F28:F32)</f>
        <v>126460</v>
      </c>
      <c r="G33" s="2">
        <f t="shared" si="3"/>
        <v>126529</v>
      </c>
      <c r="H33" s="2">
        <f t="shared" si="3"/>
        <v>126608.35</v>
      </c>
      <c r="I33" s="2">
        <f t="shared" si="3"/>
        <v>189699.60250000001</v>
      </c>
      <c r="J33" s="2">
        <f t="shared" si="3"/>
        <v>189804.54287500001</v>
      </c>
      <c r="K33" s="2">
        <f t="shared" si="3"/>
        <v>252925.22430624999</v>
      </c>
      <c r="L33" s="2">
        <f t="shared" si="3"/>
        <v>316064.0079521875</v>
      </c>
      <c r="M33" s="12">
        <f t="shared" si="3"/>
        <v>316223.60914501565</v>
      </c>
    </row>
    <row r="34" spans="1:13" x14ac:dyDescent="0.3">
      <c r="A34" s="7" t="s">
        <v>277</v>
      </c>
      <c r="C34" s="144">
        <v>0.1</v>
      </c>
      <c r="D34" s="48">
        <f>D33*C34</f>
        <v>0</v>
      </c>
      <c r="E34" s="48">
        <f>E33*$C$34</f>
        <v>6340</v>
      </c>
      <c r="F34" s="48">
        <f t="shared" ref="F34:M34" si="4">F33*$C$34</f>
        <v>12646</v>
      </c>
      <c r="G34" s="48">
        <f t="shared" si="4"/>
        <v>12652.900000000001</v>
      </c>
      <c r="H34" s="48">
        <f t="shared" si="4"/>
        <v>12660.835000000001</v>
      </c>
      <c r="I34" s="48">
        <f t="shared" si="4"/>
        <v>18969.96025</v>
      </c>
      <c r="J34" s="48">
        <f t="shared" si="4"/>
        <v>18980.454287500001</v>
      </c>
      <c r="K34" s="48">
        <f t="shared" si="4"/>
        <v>25292.522430625002</v>
      </c>
      <c r="L34" s="48">
        <f t="shared" si="4"/>
        <v>31606.400795218753</v>
      </c>
      <c r="M34" s="49">
        <f t="shared" si="4"/>
        <v>31622.360914501565</v>
      </c>
    </row>
    <row r="35" spans="1:13" x14ac:dyDescent="0.3">
      <c r="A35" s="7"/>
      <c r="C35" s="9"/>
      <c r="M35" s="9"/>
    </row>
    <row r="36" spans="1:13" x14ac:dyDescent="0.3">
      <c r="A36" s="94" t="s">
        <v>364</v>
      </c>
      <c r="B36" s="14"/>
      <c r="C36" s="32"/>
      <c r="D36" s="74">
        <f t="shared" ref="D36:M36" si="5">D33+D34</f>
        <v>0</v>
      </c>
      <c r="E36" s="74">
        <f t="shared" si="5"/>
        <v>69740</v>
      </c>
      <c r="F36" s="74">
        <f t="shared" si="5"/>
        <v>139106</v>
      </c>
      <c r="G36" s="74">
        <f t="shared" si="5"/>
        <v>139181.9</v>
      </c>
      <c r="H36" s="74">
        <f t="shared" si="5"/>
        <v>139269.185</v>
      </c>
      <c r="I36" s="74">
        <f t="shared" si="5"/>
        <v>208669.56275000001</v>
      </c>
      <c r="J36" s="74">
        <f t="shared" si="5"/>
        <v>208784.99716250002</v>
      </c>
      <c r="K36" s="74">
        <f t="shared" si="5"/>
        <v>278217.74673687498</v>
      </c>
      <c r="L36" s="74">
        <f t="shared" si="5"/>
        <v>347670.40874740627</v>
      </c>
      <c r="M36" s="75">
        <f t="shared" si="5"/>
        <v>347845.97005951719</v>
      </c>
    </row>
    <row r="37" spans="1:13" x14ac:dyDescent="0.3">
      <c r="A37" s="7"/>
      <c r="C37" s="9"/>
      <c r="M37" s="9"/>
    </row>
    <row r="38" spans="1:13" x14ac:dyDescent="0.3">
      <c r="A38" s="7"/>
      <c r="C38" s="9"/>
      <c r="M38" s="9"/>
    </row>
    <row r="39" spans="1:13" x14ac:dyDescent="0.3">
      <c r="A39" s="50" t="s">
        <v>365</v>
      </c>
      <c r="C39" s="9"/>
      <c r="M39" s="9"/>
    </row>
    <row r="40" spans="1:13" x14ac:dyDescent="0.3">
      <c r="A40" s="7"/>
      <c r="C40" s="9"/>
      <c r="M40" s="9"/>
    </row>
    <row r="41" spans="1:13" x14ac:dyDescent="0.3">
      <c r="A41" s="7" t="s">
        <v>333</v>
      </c>
      <c r="C41" s="9"/>
      <c r="D41">
        <f>'10. Assumptions'!$C$36*'10. Assumptions'!$E$36*'10. Assumptions'!K36</f>
        <v>0</v>
      </c>
      <c r="E41">
        <f>'10. Assumptions'!$C$36*'10. Assumptions'!$E$36*'10. Assumptions'!L36</f>
        <v>300000</v>
      </c>
      <c r="F41">
        <f>'10. Assumptions'!$C$36*'10. Assumptions'!$E$36*'10. Assumptions'!M36</f>
        <v>300000</v>
      </c>
      <c r="G41">
        <f>'10. Assumptions'!$C$36*'10. Assumptions'!$E$36*'10. Assumptions'!N36</f>
        <v>300000</v>
      </c>
      <c r="H41">
        <f>'10. Assumptions'!$C$36*'10. Assumptions'!$E$36*'10. Assumptions'!O36</f>
        <v>300000</v>
      </c>
      <c r="I41">
        <f>'10. Assumptions'!$C$36*'10. Assumptions'!$E$36*'10. Assumptions'!P36</f>
        <v>300000</v>
      </c>
      <c r="J41">
        <f>'10. Assumptions'!$C$36*'10. Assumptions'!$E$36*'10. Assumptions'!Q36</f>
        <v>300000</v>
      </c>
      <c r="K41">
        <f>'10. Assumptions'!$C$36*'10. Assumptions'!$E$36*'10. Assumptions'!R36</f>
        <v>300000</v>
      </c>
      <c r="L41">
        <f>'10. Assumptions'!$C$36*'10. Assumptions'!$E$36*'10. Assumptions'!S36</f>
        <v>300000</v>
      </c>
      <c r="M41" s="9">
        <f>'10. Assumptions'!$C$36*'10. Assumptions'!$E$36*'10. Assumptions'!T36</f>
        <v>300000</v>
      </c>
    </row>
    <row r="42" spans="1:13" x14ac:dyDescent="0.3">
      <c r="A42" s="7" t="s">
        <v>342</v>
      </c>
      <c r="C42" s="9"/>
      <c r="D42">
        <v>0</v>
      </c>
      <c r="E42" s="2">
        <f>'8 Production planning'!D45*'10. Assumptions'!$D$11*'10. Assumptions'!$E$11*'10. Assumptions'!$F$11</f>
        <v>100000</v>
      </c>
      <c r="F42" s="2">
        <f>'8 Production planning'!E45*'10. Assumptions'!$D$11*'10. Assumptions'!$E$11*'10. Assumptions'!$F$11</f>
        <v>100000</v>
      </c>
      <c r="G42" s="2">
        <f>'8 Production planning'!F45*'10. Assumptions'!$D$11*'10. Assumptions'!$E$11*'10. Assumptions'!$F$11</f>
        <v>100000</v>
      </c>
      <c r="H42" s="2">
        <f>'8 Production planning'!G45*'10. Assumptions'!$D$11*'10. Assumptions'!$E$11*'10. Assumptions'!$F$11</f>
        <v>100000</v>
      </c>
      <c r="I42" s="2">
        <f>'8 Production planning'!H45*'10. Assumptions'!$D$11*'10. Assumptions'!$E$11*'10. Assumptions'!$F$11</f>
        <v>100000</v>
      </c>
      <c r="J42" s="2">
        <f>'8 Production planning'!I45*'10. Assumptions'!$D$11*'10. Assumptions'!$E$11*'10. Assumptions'!$F$11</f>
        <v>100000</v>
      </c>
      <c r="K42" s="2">
        <f>'8 Production planning'!J45*'10. Assumptions'!$D$11*'10. Assumptions'!$E$11*'10. Assumptions'!$F$11</f>
        <v>100000</v>
      </c>
      <c r="L42" s="2">
        <f>'8 Production planning'!K45*'10. Assumptions'!$D$11*'10. Assumptions'!$E$11*'10. Assumptions'!$F$11</f>
        <v>100000</v>
      </c>
      <c r="M42" s="12">
        <f>'8 Production planning'!L45*'10. Assumptions'!$D$11*'10. Assumptions'!$E$11*'10. Assumptions'!$F$11</f>
        <v>100000</v>
      </c>
    </row>
    <row r="43" spans="1:13" x14ac:dyDescent="0.3">
      <c r="A43" s="7" t="s">
        <v>223</v>
      </c>
      <c r="C43" s="9"/>
      <c r="D43">
        <v>0</v>
      </c>
      <c r="E43" s="2">
        <f>'10. Assumptions'!$H$51*'10. Assumptions'!$H$60*'8 Production planning'!D45</f>
        <v>15000</v>
      </c>
      <c r="F43" s="2">
        <f>'10. Assumptions'!$H$51*'10. Assumptions'!$H$60*'8 Production planning'!E45</f>
        <v>15000</v>
      </c>
      <c r="G43" s="2">
        <f>'10. Assumptions'!$H$51*'10. Assumptions'!$H$60*'8 Production planning'!F45</f>
        <v>15000</v>
      </c>
      <c r="H43" s="2">
        <f>'10. Assumptions'!$H$51*'10. Assumptions'!$H$60*'8 Production planning'!G45</f>
        <v>15000</v>
      </c>
      <c r="I43" s="2">
        <f>'10. Assumptions'!$H$51*'10. Assumptions'!$H$60*'8 Production planning'!H45</f>
        <v>15000</v>
      </c>
      <c r="J43" s="2">
        <f>'10. Assumptions'!$H$51*'10. Assumptions'!$H$60*'8 Production planning'!I45</f>
        <v>15000</v>
      </c>
      <c r="K43" s="2">
        <f>'10. Assumptions'!$H$51*'10. Assumptions'!$H$60*'8 Production planning'!J45</f>
        <v>15000</v>
      </c>
      <c r="L43" s="2">
        <f>'10. Assumptions'!$H$51*'10. Assumptions'!$H$60*'8 Production planning'!K45</f>
        <v>15000</v>
      </c>
      <c r="M43" s="12">
        <f>'10. Assumptions'!$H$51*'10. Assumptions'!$H$60*'8 Production planning'!L45</f>
        <v>15000</v>
      </c>
    </row>
    <row r="44" spans="1:13" x14ac:dyDescent="0.3">
      <c r="A44" s="7" t="s">
        <v>337</v>
      </c>
      <c r="C44" s="9"/>
      <c r="D44">
        <v>0</v>
      </c>
      <c r="E44" s="2">
        <f>'8 Production planning'!D49*'10. Assumptions'!$E$97</f>
        <v>9.375</v>
      </c>
      <c r="F44" s="2">
        <f>'8 Production planning'!E49*'10. Assumptions'!$E$97</f>
        <v>10.78125</v>
      </c>
      <c r="G44" s="2">
        <f>'8 Production planning'!F49*'10. Assumptions'!$E$97</f>
        <v>12.398437499999998</v>
      </c>
      <c r="H44" s="2">
        <f>'8 Production planning'!G49*'10. Assumptions'!$E$97</f>
        <v>14.258203124999998</v>
      </c>
      <c r="I44" s="2">
        <f>'8 Production planning'!H49*'10. Assumptions'!$E$97</f>
        <v>16.396933593749996</v>
      </c>
      <c r="J44" s="2">
        <f>'8 Production planning'!I49*'10. Assumptions'!$E$97</f>
        <v>18.856473632812492</v>
      </c>
      <c r="K44" s="2">
        <f>'8 Production planning'!J49*'10. Assumptions'!$E$97</f>
        <v>21.684944677734368</v>
      </c>
      <c r="L44" s="2">
        <f>'8 Production planning'!K49*'10. Assumptions'!$E$97</f>
        <v>24.937686379394517</v>
      </c>
      <c r="M44" s="12">
        <f>'8 Production planning'!L49*'10. Assumptions'!$E$97</f>
        <v>28.67833933630369</v>
      </c>
    </row>
    <row r="45" spans="1:13" x14ac:dyDescent="0.3">
      <c r="A45" s="7" t="s">
        <v>16</v>
      </c>
      <c r="C45" s="9"/>
      <c r="D45">
        <v>0</v>
      </c>
      <c r="E45" s="2">
        <f>'8 Production planning'!D30*'10. Assumptions'!F133*'10. Assumptions'!$F$102</f>
        <v>3750</v>
      </c>
      <c r="F45" s="2">
        <f>'8 Production planning'!E30*'10. Assumptions'!G133*'10. Assumptions'!$F$102</f>
        <v>4312.5</v>
      </c>
      <c r="G45" s="2">
        <f>'8 Production planning'!F30*'10. Assumptions'!H133*'10. Assumptions'!$F$102</f>
        <v>3719.5312499999991</v>
      </c>
      <c r="H45" s="2">
        <f>'8 Production planning'!G30*'10. Assumptions'!I133*'10. Assumptions'!$F$102</f>
        <v>4277.4609374999991</v>
      </c>
      <c r="I45" s="2">
        <f>'8 Production planning'!H30*'10. Assumptions'!J133*'10. Assumptions'!$F$102</f>
        <v>4919.0800781249982</v>
      </c>
      <c r="J45" s="2">
        <f>'8 Production planning'!I30*'10. Assumptions'!K133*'10. Assumptions'!$F$102</f>
        <v>5656.9420898437475</v>
      </c>
      <c r="K45" s="2">
        <f>'8 Production planning'!J30*'10. Assumptions'!L133*'10. Assumptions'!$F$102</f>
        <v>6505.4834033203097</v>
      </c>
      <c r="L45" s="2">
        <f>'8 Production planning'!K30*'10. Assumptions'!M133*'10. Assumptions'!$F$102</f>
        <v>7481.3059138183544</v>
      </c>
      <c r="M45" s="12">
        <f>'8 Production planning'!L30*'10. Assumptions'!N133*'10. Assumptions'!$F$102</f>
        <v>8603.5018008911065</v>
      </c>
    </row>
    <row r="46" spans="1:13" x14ac:dyDescent="0.3">
      <c r="A46" s="7" t="s">
        <v>17</v>
      </c>
      <c r="C46" s="9"/>
      <c r="D46">
        <v>0</v>
      </c>
      <c r="E46" s="2">
        <f>'8 Production planning'!D30*'10. Assumptions'!F134/'10. Assumptions'!$C$134*'10. Assumptions'!$F$103</f>
        <v>3750</v>
      </c>
      <c r="F46" s="2">
        <f>'8 Production planning'!E30*'10. Assumptions'!G134/'10. Assumptions'!$C$134*'10. Assumptions'!$F$103</f>
        <v>4312.5</v>
      </c>
      <c r="G46" s="2">
        <f>'8 Production planning'!F30*'10. Assumptions'!H134/'10. Assumptions'!$C$134*'10. Assumptions'!$F$103</f>
        <v>4959.375</v>
      </c>
      <c r="H46" s="2">
        <f>'8 Production planning'!G30*'10. Assumptions'!I134/'10. Assumptions'!$C$134*'10. Assumptions'!$F$103</f>
        <v>5703.2812499999991</v>
      </c>
      <c r="I46" s="2">
        <f>'8 Production planning'!H30*'10. Assumptions'!J134/'10. Assumptions'!$C$134*'10. Assumptions'!$F$103</f>
        <v>4919.0800781249982</v>
      </c>
      <c r="J46" s="2">
        <f>'8 Production planning'!I30*'10. Assumptions'!K134/'10. Assumptions'!$C$134*'10. Assumptions'!$F$103</f>
        <v>5656.9420898437475</v>
      </c>
      <c r="K46" s="2">
        <f>'8 Production planning'!J30*'10. Assumptions'!L134/'10. Assumptions'!$C$134*'10. Assumptions'!$F$103</f>
        <v>4336.988935546874</v>
      </c>
      <c r="L46" s="2">
        <f>'8 Production planning'!K30*'10. Assumptions'!M134/'10. Assumptions'!$C$134*'10. Assumptions'!$F$103</f>
        <v>4987.5372758789044</v>
      </c>
      <c r="M46" s="12">
        <f>'8 Production planning'!L30*'10. Assumptions'!N134/'10. Assumptions'!$C$134*'10. Assumptions'!$F$103</f>
        <v>5735.6678672607386</v>
      </c>
    </row>
    <row r="47" spans="1:13" x14ac:dyDescent="0.3">
      <c r="A47" s="7" t="s">
        <v>18</v>
      </c>
      <c r="C47" s="9"/>
      <c r="D47">
        <v>0</v>
      </c>
      <c r="E47" s="2">
        <f>'8 Production planning'!D30*'10. Assumptions'!F135/'10. Assumptions'!$C$135*'10. Assumptions'!$F$104</f>
        <v>3375</v>
      </c>
      <c r="F47" s="2">
        <f>'8 Production planning'!E30*'10. Assumptions'!G135/'10. Assumptions'!$C$135*'10. Assumptions'!$F$104</f>
        <v>3881.25</v>
      </c>
      <c r="G47" s="2">
        <f>'8 Production planning'!F30*'10. Assumptions'!H135/'10. Assumptions'!$C$135*'10. Assumptions'!$F$104</f>
        <v>4463.4374999999991</v>
      </c>
      <c r="H47" s="2">
        <f>'8 Production planning'!G30*'10. Assumptions'!I135/'10. Assumptions'!$C$135*'10. Assumptions'!$F$104</f>
        <v>5132.9531249999991</v>
      </c>
      <c r="I47" s="2">
        <f>'8 Production planning'!H30*'10. Assumptions'!J135/'10. Assumptions'!$C$135*'10. Assumptions'!$F$104</f>
        <v>4919.0800781249991</v>
      </c>
      <c r="J47" s="2">
        <f>'8 Production planning'!I30*'10. Assumptions'!K135/'10. Assumptions'!$C$135*'10. Assumptions'!$F$104</f>
        <v>5656.9420898437475</v>
      </c>
      <c r="K47" s="2">
        <f>'8 Production planning'!J30*'10. Assumptions'!L135/'10. Assumptions'!$C$135*'10. Assumptions'!$F$104</f>
        <v>5204.3867226562479</v>
      </c>
      <c r="L47" s="2">
        <f>'8 Production planning'!K30*'10. Assumptions'!M135/'10. Assumptions'!$C$135*'10. Assumptions'!$F$104</f>
        <v>5985.0447310546851</v>
      </c>
      <c r="M47" s="12">
        <f>'8 Production planning'!L30*'10. Assumptions'!N135/'10. Assumptions'!$C$135*'10. Assumptions'!$F$104</f>
        <v>6882.8014407128867</v>
      </c>
    </row>
    <row r="48" spans="1:13" x14ac:dyDescent="0.3">
      <c r="A48" s="7" t="s">
        <v>15</v>
      </c>
      <c r="C48" s="9"/>
      <c r="D48" s="95">
        <v>0</v>
      </c>
      <c r="E48" s="48">
        <f>'8 Production planning'!D30*'10. Assumptions'!F136/'10. Assumptions'!$C$136*'10. Assumptions'!$F$105</f>
        <v>1125</v>
      </c>
      <c r="F48" s="48">
        <f>'8 Production planning'!E30*'10. Assumptions'!G136/'10. Assumptions'!$C$136*'10. Assumptions'!$F$105</f>
        <v>1293.75</v>
      </c>
      <c r="G48" s="48">
        <f>'8 Production planning'!F30*'10. Assumptions'!H136/'10. Assumptions'!$C$136*'10. Assumptions'!$F$105</f>
        <v>1487.8124999999998</v>
      </c>
      <c r="H48" s="48">
        <f>'8 Production planning'!G30*'10. Assumptions'!I136/'10. Assumptions'!$C$136*'10. Assumptions'!$F$105</f>
        <v>1710.9843749999995</v>
      </c>
      <c r="I48" s="48">
        <f>'8 Production planning'!H30*'10. Assumptions'!J136/'10. Assumptions'!$C$136*'10. Assumptions'!$F$105</f>
        <v>2295.5707031249995</v>
      </c>
      <c r="J48" s="48">
        <f>'8 Production planning'!I30*'10. Assumptions'!K136/'10. Assumptions'!$C$136*'10. Assumptions'!$F$105</f>
        <v>2639.9063085937491</v>
      </c>
      <c r="K48" s="48">
        <f>'8 Production planning'!J30*'10. Assumptions'!L136/'10. Assumptions'!$C$136*'10. Assumptions'!$F$105</f>
        <v>3469.5911484374988</v>
      </c>
      <c r="L48" s="48">
        <f>'8 Production planning'!K30*'10. Assumptions'!M136/'10. Assumptions'!$C$136*'10. Assumptions'!$F$105</f>
        <v>3491.276093115232</v>
      </c>
      <c r="M48" s="49">
        <f>'8 Production planning'!L30*'10. Assumptions'!N136/'10. Assumptions'!$C$136*'10. Assumptions'!$F$105</f>
        <v>4014.967507082516</v>
      </c>
    </row>
    <row r="49" spans="1:13" x14ac:dyDescent="0.3">
      <c r="A49" s="7"/>
      <c r="C49" s="9"/>
      <c r="D49">
        <f>SUM(D41:D48)</f>
        <v>0</v>
      </c>
      <c r="E49" s="2">
        <f>SUM(E41:E48)</f>
        <v>427009.375</v>
      </c>
      <c r="F49" s="2">
        <f t="shared" ref="F49:M49" si="6">SUM(F41:F48)</f>
        <v>428810.78125</v>
      </c>
      <c r="G49" s="2">
        <f t="shared" si="6"/>
        <v>429642.5546875</v>
      </c>
      <c r="H49" s="2">
        <f t="shared" si="6"/>
        <v>431838.93789062498</v>
      </c>
      <c r="I49" s="2">
        <f t="shared" si="6"/>
        <v>432069.20787109371</v>
      </c>
      <c r="J49" s="2">
        <f t="shared" si="6"/>
        <v>434629.58905175776</v>
      </c>
      <c r="K49" s="2">
        <f t="shared" si="6"/>
        <v>434538.13515463873</v>
      </c>
      <c r="L49" s="2">
        <f t="shared" si="6"/>
        <v>436970.10170024657</v>
      </c>
      <c r="M49" s="12">
        <f t="shared" si="6"/>
        <v>440265.61695528356</v>
      </c>
    </row>
    <row r="50" spans="1:13" x14ac:dyDescent="0.3">
      <c r="A50" s="7" t="s">
        <v>234</v>
      </c>
      <c r="C50" s="144">
        <v>0.1</v>
      </c>
      <c r="D50" s="95">
        <f>D49*C50</f>
        <v>0</v>
      </c>
      <c r="E50" s="48">
        <f>E49*$C$50</f>
        <v>42700.9375</v>
      </c>
      <c r="F50" s="48">
        <f t="shared" ref="F50:M50" si="7">F49*$C$50</f>
        <v>42881.078125</v>
      </c>
      <c r="G50" s="48">
        <f t="shared" si="7"/>
        <v>42964.255468750001</v>
      </c>
      <c r="H50" s="48">
        <f t="shared" si="7"/>
        <v>43183.893789062502</v>
      </c>
      <c r="I50" s="48">
        <f t="shared" si="7"/>
        <v>43206.920787109375</v>
      </c>
      <c r="J50" s="48">
        <f t="shared" si="7"/>
        <v>43462.958905175779</v>
      </c>
      <c r="K50" s="48">
        <f t="shared" si="7"/>
        <v>43453.813515463873</v>
      </c>
      <c r="L50" s="48">
        <f t="shared" si="7"/>
        <v>43697.01017002466</v>
      </c>
      <c r="M50" s="49">
        <f t="shared" si="7"/>
        <v>44026.561695528362</v>
      </c>
    </row>
    <row r="51" spans="1:13" x14ac:dyDescent="0.3">
      <c r="A51" s="7"/>
      <c r="C51" s="9"/>
      <c r="M51" s="9"/>
    </row>
    <row r="52" spans="1:13" x14ac:dyDescent="0.3">
      <c r="A52" s="94" t="s">
        <v>366</v>
      </c>
      <c r="B52" s="14"/>
      <c r="C52" s="32"/>
      <c r="D52" s="99">
        <f>D49+D50</f>
        <v>0</v>
      </c>
      <c r="E52" s="74">
        <f t="shared" ref="E52:M52" si="8">E50+E49</f>
        <v>469710.3125</v>
      </c>
      <c r="F52" s="74">
        <f t="shared" si="8"/>
        <v>471691.859375</v>
      </c>
      <c r="G52" s="74">
        <f t="shared" si="8"/>
        <v>472606.81015625002</v>
      </c>
      <c r="H52" s="74">
        <f t="shared" si="8"/>
        <v>475022.83167968749</v>
      </c>
      <c r="I52" s="74">
        <f t="shared" si="8"/>
        <v>475276.12865820306</v>
      </c>
      <c r="J52" s="74">
        <f t="shared" si="8"/>
        <v>478092.54795693356</v>
      </c>
      <c r="K52" s="74">
        <f t="shared" si="8"/>
        <v>477991.94867010263</v>
      </c>
      <c r="L52" s="74">
        <f t="shared" si="8"/>
        <v>480667.11187027121</v>
      </c>
      <c r="M52" s="75">
        <f t="shared" si="8"/>
        <v>484292.1786508119</v>
      </c>
    </row>
    <row r="53" spans="1:13" x14ac:dyDescent="0.3">
      <c r="A53" s="7"/>
      <c r="C53" s="9"/>
      <c r="M53" s="9"/>
    </row>
    <row r="54" spans="1:13" x14ac:dyDescent="0.3">
      <c r="A54" s="50" t="s">
        <v>367</v>
      </c>
      <c r="C54" s="9"/>
      <c r="M54" s="9"/>
    </row>
    <row r="55" spans="1:13" x14ac:dyDescent="0.3">
      <c r="A55" s="7"/>
      <c r="C55" s="9"/>
      <c r="M55" s="9"/>
    </row>
    <row r="56" spans="1:13" x14ac:dyDescent="0.3">
      <c r="A56" s="96" t="s">
        <v>463</v>
      </c>
      <c r="C56" s="9"/>
      <c r="D56">
        <v>0</v>
      </c>
      <c r="E56" s="97">
        <f>'8 Production planning'!D52/'10. Assumptions'!$C$141*'10. Assumptions'!$P$89</f>
        <v>0</v>
      </c>
      <c r="F56" s="97">
        <f>'8 Production planning'!E52/'10. Assumptions'!$C$141*'10. Assumptions'!$P$89</f>
        <v>0</v>
      </c>
      <c r="G56" s="97">
        <f>'8 Production planning'!F52/'10. Assumptions'!$C$141*'10. Assumptions'!$P$89</f>
        <v>0</v>
      </c>
      <c r="H56" s="97">
        <f>'8 Production planning'!G52/'10. Assumptions'!$C$141*'10. Assumptions'!$P$89</f>
        <v>0</v>
      </c>
      <c r="I56" s="97">
        <f>'8 Production planning'!H52/'10. Assumptions'!$C$141*'10. Assumptions'!$P$89</f>
        <v>0</v>
      </c>
      <c r="J56" s="97">
        <f>'8 Production planning'!I52/'10. Assumptions'!$C$141*'10. Assumptions'!$P$89</f>
        <v>0</v>
      </c>
      <c r="K56" s="97">
        <f>'8 Production planning'!J52/'10. Assumptions'!$C$141*'10. Assumptions'!$P$89</f>
        <v>0</v>
      </c>
      <c r="L56" s="97">
        <f>'8 Production planning'!K52/'10. Assumptions'!$C$141*'10. Assumptions'!$P$89</f>
        <v>0</v>
      </c>
      <c r="M56" s="98">
        <f>'8 Production planning'!L52/'10. Assumptions'!$C$141*'10. Assumptions'!$P$89</f>
        <v>0</v>
      </c>
    </row>
    <row r="57" spans="1:13" x14ac:dyDescent="0.3">
      <c r="A57" s="7" t="s">
        <v>339</v>
      </c>
      <c r="C57" s="9"/>
      <c r="D57" s="95">
        <v>0</v>
      </c>
      <c r="E57" s="48">
        <f>'8 Production planning'!D52/'10. Assumptions'!$C$141*'10. Assumptions'!$E$97</f>
        <v>20.357142857142858</v>
      </c>
      <c r="F57" s="48">
        <f>'8 Production planning'!E52/'10. Assumptions'!$C$141*'10. Assumptions'!$E$97</f>
        <v>23.410714285714285</v>
      </c>
      <c r="G57" s="48">
        <f>'8 Production planning'!F52/'10. Assumptions'!$C$141*'10. Assumptions'!$E$97</f>
        <v>26.922321428571422</v>
      </c>
      <c r="H57" s="48">
        <f>'8 Production planning'!G52/'10. Assumptions'!$C$141*'10. Assumptions'!$E$97</f>
        <v>30.960669642857134</v>
      </c>
      <c r="I57" s="48">
        <f>'8 Production planning'!H52/'10. Assumptions'!$C$141*'10. Assumptions'!$E$97</f>
        <v>35.604770089285701</v>
      </c>
      <c r="J57" s="48">
        <f>'8 Production planning'!I52/'10. Assumptions'!$C$141*'10. Assumptions'!$E$97</f>
        <v>40.945485602678552</v>
      </c>
      <c r="K57" s="48">
        <f>'8 Production planning'!J52/'10. Assumptions'!$C$141*'10. Assumptions'!$E$97</f>
        <v>47.087308443080339</v>
      </c>
      <c r="L57" s="48">
        <f>'8 Production planning'!K52/'10. Assumptions'!$C$141*'10. Assumptions'!$E$97</f>
        <v>54.150404709542386</v>
      </c>
      <c r="M57" s="49">
        <f>'8 Production planning'!L52/'10. Assumptions'!$C$141*'10. Assumptions'!$E$97</f>
        <v>62.272965415973715</v>
      </c>
    </row>
    <row r="58" spans="1:13" x14ac:dyDescent="0.3">
      <c r="A58" s="7"/>
      <c r="C58" s="9"/>
      <c r="M58" s="9"/>
    </row>
    <row r="59" spans="1:13" x14ac:dyDescent="0.3">
      <c r="A59" s="94" t="s">
        <v>464</v>
      </c>
      <c r="B59" s="90"/>
      <c r="C59" s="91"/>
      <c r="D59" s="99">
        <f>SUM(D56:D57)</f>
        <v>0</v>
      </c>
      <c r="E59" s="74">
        <f>SUM(E56:E57)</f>
        <v>20.357142857142858</v>
      </c>
      <c r="F59" s="74">
        <f t="shared" ref="F59:M59" si="9">SUM(F56:F57)</f>
        <v>23.410714285714285</v>
      </c>
      <c r="G59" s="74">
        <f t="shared" si="9"/>
        <v>26.922321428571422</v>
      </c>
      <c r="H59" s="74">
        <f t="shared" si="9"/>
        <v>30.960669642857134</v>
      </c>
      <c r="I59" s="74">
        <f t="shared" si="9"/>
        <v>35.604770089285701</v>
      </c>
      <c r="J59" s="74">
        <f t="shared" si="9"/>
        <v>40.945485602678552</v>
      </c>
      <c r="K59" s="74">
        <f t="shared" si="9"/>
        <v>47.087308443080339</v>
      </c>
      <c r="L59" s="74">
        <f t="shared" si="9"/>
        <v>54.150404709542386</v>
      </c>
      <c r="M59" s="75">
        <f t="shared" si="9"/>
        <v>62.272965415973715</v>
      </c>
    </row>
    <row r="60" spans="1:13" x14ac:dyDescent="0.3">
      <c r="A60" s="7"/>
      <c r="C60" s="9"/>
      <c r="M60" s="9"/>
    </row>
    <row r="61" spans="1:13" x14ac:dyDescent="0.3">
      <c r="A61" s="7"/>
      <c r="C61" s="9"/>
      <c r="M61" s="9"/>
    </row>
    <row r="62" spans="1:13" x14ac:dyDescent="0.3">
      <c r="A62" s="31" t="s">
        <v>229</v>
      </c>
      <c r="C62" s="9"/>
      <c r="M62" s="9"/>
    </row>
    <row r="63" spans="1:13" x14ac:dyDescent="0.3">
      <c r="A63" s="7"/>
      <c r="C63" s="9"/>
      <c r="M63" s="9"/>
    </row>
    <row r="64" spans="1:13" x14ac:dyDescent="0.3">
      <c r="A64" s="7" t="s">
        <v>345</v>
      </c>
      <c r="C64" s="9"/>
      <c r="D64">
        <v>0</v>
      </c>
      <c r="E64" s="2">
        <f>'8 Production planning'!D21/'10. Assumptions'!$C$141*'10. Assumptions'!$P$89</f>
        <v>0</v>
      </c>
      <c r="F64" s="2">
        <f>'8 Production planning'!E21/'10. Assumptions'!$C$141*'10. Assumptions'!$P$89</f>
        <v>0</v>
      </c>
      <c r="G64" s="2">
        <f>'8 Production planning'!F21/'10. Assumptions'!$C$141*'10. Assumptions'!$P$89</f>
        <v>0</v>
      </c>
      <c r="H64" s="2">
        <f>'8 Production planning'!G21/'10. Assumptions'!$C$141*'10. Assumptions'!$P$89</f>
        <v>0</v>
      </c>
      <c r="I64" s="2">
        <f>'8 Production planning'!H21/'10. Assumptions'!$C$141*'10. Assumptions'!$P$89</f>
        <v>0</v>
      </c>
      <c r="J64" s="2">
        <f>'8 Production planning'!I21/'10. Assumptions'!$C$141*'10. Assumptions'!$P$89</f>
        <v>0</v>
      </c>
      <c r="K64" s="2">
        <f>'8 Production planning'!J21/'10. Assumptions'!$C$141*'10. Assumptions'!$P$89</f>
        <v>0</v>
      </c>
      <c r="L64" s="2">
        <f>'8 Production planning'!K21/'10. Assumptions'!$C$141*'10. Assumptions'!$P$89</f>
        <v>0</v>
      </c>
      <c r="M64" s="12">
        <f>'8 Production planning'!L21/'10. Assumptions'!$C$141*'10. Assumptions'!$P$89</f>
        <v>0</v>
      </c>
    </row>
    <row r="65" spans="1:13" x14ac:dyDescent="0.3">
      <c r="A65" s="7" t="s">
        <v>227</v>
      </c>
      <c r="C65" s="9"/>
      <c r="D65" s="95">
        <v>0</v>
      </c>
      <c r="E65" s="48">
        <f>'8 Production planning'!D21/'10. Assumptions'!$C$141*'10. Assumptions'!$E$97</f>
        <v>107.14285714285714</v>
      </c>
      <c r="F65" s="48">
        <f>'8 Production planning'!E21/'10. Assumptions'!$C$141*'10. Assumptions'!$E$97</f>
        <v>123.21428571428571</v>
      </c>
      <c r="G65" s="48">
        <f>'8 Production planning'!F21/'10. Assumptions'!$C$141*'10. Assumptions'!$E$97</f>
        <v>141.69642857142856</v>
      </c>
      <c r="H65" s="48">
        <f>'8 Production planning'!G21/'10. Assumptions'!$C$141*'10. Assumptions'!$E$97</f>
        <v>162.9508928571428</v>
      </c>
      <c r="I65" s="48">
        <f>'8 Production planning'!H21/'10. Assumptions'!$C$141*'10. Assumptions'!$E$97</f>
        <v>187.39352678571422</v>
      </c>
      <c r="J65" s="48">
        <f>'8 Production planning'!I21/'10. Assumptions'!$C$141*'10. Assumptions'!$E$97</f>
        <v>215.50255580357131</v>
      </c>
      <c r="K65" s="48">
        <f>'8 Production planning'!J21/'10. Assumptions'!$C$141*'10. Assumptions'!$E$97</f>
        <v>247.82793917410703</v>
      </c>
      <c r="L65" s="48">
        <f>'8 Production planning'!K21/'10. Assumptions'!$C$141*'10. Assumptions'!$E$97</f>
        <v>285.00213005022306</v>
      </c>
      <c r="M65" s="49">
        <f>'8 Production planning'!L21/'10. Assumptions'!$C$141*'10. Assumptions'!$E$97</f>
        <v>327.75244955775645</v>
      </c>
    </row>
    <row r="66" spans="1:13" x14ac:dyDescent="0.3">
      <c r="A66" s="7"/>
      <c r="C66" s="9"/>
      <c r="M66" s="9"/>
    </row>
    <row r="67" spans="1:13" x14ac:dyDescent="0.3">
      <c r="A67" s="36" t="s">
        <v>228</v>
      </c>
      <c r="B67" s="37"/>
      <c r="C67" s="38"/>
      <c r="D67" s="99">
        <f>SUM(D64:D65)</f>
        <v>0</v>
      </c>
      <c r="E67" s="39">
        <f>SUM(E64:E65)</f>
        <v>107.14285714285714</v>
      </c>
      <c r="F67" s="39">
        <f t="shared" ref="F67:M67" si="10">SUM(F64:F65)</f>
        <v>123.21428571428571</v>
      </c>
      <c r="G67" s="39">
        <f t="shared" si="10"/>
        <v>141.69642857142856</v>
      </c>
      <c r="H67" s="39">
        <f t="shared" si="10"/>
        <v>162.9508928571428</v>
      </c>
      <c r="I67" s="39">
        <f t="shared" si="10"/>
        <v>187.39352678571422</v>
      </c>
      <c r="J67" s="39">
        <f t="shared" si="10"/>
        <v>215.50255580357131</v>
      </c>
      <c r="K67" s="39">
        <f t="shared" si="10"/>
        <v>247.82793917410703</v>
      </c>
      <c r="L67" s="39">
        <f t="shared" si="10"/>
        <v>285.00213005022306</v>
      </c>
      <c r="M67" s="40">
        <f t="shared" si="10"/>
        <v>327.75244955775645</v>
      </c>
    </row>
  </sheetData>
  <phoneticPr fontId="12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2"/>
  <sheetViews>
    <sheetView topLeftCell="A22" workbookViewId="0">
      <selection activeCell="D54" sqref="D54"/>
    </sheetView>
  </sheetViews>
  <sheetFormatPr defaultColWidth="11" defaultRowHeight="13.5" x14ac:dyDescent="0.3"/>
  <cols>
    <col min="1" max="1" width="29.15234375" customWidth="1"/>
    <col min="2" max="2" width="7.23046875" customWidth="1"/>
  </cols>
  <sheetData>
    <row r="1" spans="1:13" x14ac:dyDescent="0.3">
      <c r="A1" s="129" t="s">
        <v>470</v>
      </c>
    </row>
    <row r="4" spans="1:13" x14ac:dyDescent="0.3">
      <c r="A4" s="3" t="s">
        <v>111</v>
      </c>
      <c r="B4" s="6"/>
      <c r="C4" s="5">
        <v>2019</v>
      </c>
      <c r="D4" s="5">
        <v>2020</v>
      </c>
      <c r="E4" s="5">
        <v>2021</v>
      </c>
      <c r="F4" s="5">
        <v>2022</v>
      </c>
      <c r="G4" s="5">
        <v>2023</v>
      </c>
      <c r="H4" s="5">
        <v>2024</v>
      </c>
      <c r="I4" s="5">
        <v>2025</v>
      </c>
      <c r="J4" s="5">
        <v>2026</v>
      </c>
      <c r="K4" s="5">
        <v>2027</v>
      </c>
      <c r="L4" s="5">
        <v>2028</v>
      </c>
      <c r="M4" s="6"/>
    </row>
    <row r="5" spans="1:13" x14ac:dyDescent="0.3">
      <c r="A5" s="26"/>
      <c r="B5" s="32"/>
      <c r="C5" s="100" t="s">
        <v>110</v>
      </c>
      <c r="D5" s="100" t="s">
        <v>110</v>
      </c>
      <c r="E5" s="100" t="s">
        <v>110</v>
      </c>
      <c r="F5" s="100" t="s">
        <v>110</v>
      </c>
      <c r="G5" s="100" t="s">
        <v>110</v>
      </c>
      <c r="H5" s="100" t="s">
        <v>110</v>
      </c>
      <c r="I5" s="100" t="s">
        <v>110</v>
      </c>
      <c r="J5" s="100" t="s">
        <v>110</v>
      </c>
      <c r="K5" s="100" t="s">
        <v>110</v>
      </c>
      <c r="L5" s="100" t="s">
        <v>110</v>
      </c>
      <c r="M5" s="32"/>
    </row>
    <row r="6" spans="1:13" x14ac:dyDescent="0.3">
      <c r="A6" s="7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9"/>
    </row>
    <row r="7" spans="1:13" x14ac:dyDescent="0.3">
      <c r="A7" s="11" t="s">
        <v>112</v>
      </c>
      <c r="B7" s="9"/>
      <c r="C7" s="2">
        <f>'10. Assumptions'!E86</f>
        <v>10000</v>
      </c>
      <c r="D7" s="2">
        <f>'10. Assumptions'!F86</f>
        <v>11500</v>
      </c>
      <c r="E7" s="2">
        <f>'10. Assumptions'!G86</f>
        <v>13224.999999999998</v>
      </c>
      <c r="F7" s="2">
        <f>'10. Assumptions'!H86</f>
        <v>15208.749999999996</v>
      </c>
      <c r="G7" s="2">
        <f>'10. Assumptions'!I86</f>
        <v>17490.062499999993</v>
      </c>
      <c r="H7" s="2">
        <f>'10. Assumptions'!J86</f>
        <v>20113.571874999991</v>
      </c>
      <c r="I7" s="2">
        <f>'10. Assumptions'!K86</f>
        <v>23130.607656249987</v>
      </c>
      <c r="J7" s="2">
        <f>'10. Assumptions'!L86</f>
        <v>26600.198804687483</v>
      </c>
      <c r="K7" s="2">
        <f>'10. Assumptions'!M86</f>
        <v>30590.228625390602</v>
      </c>
      <c r="L7" s="2">
        <f>'10. Assumptions'!N86</f>
        <v>35178.762919199187</v>
      </c>
      <c r="M7" s="9"/>
    </row>
    <row r="8" spans="1:13" x14ac:dyDescent="0.3">
      <c r="A8" s="7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9"/>
    </row>
    <row r="9" spans="1:13" x14ac:dyDescent="0.3">
      <c r="A9" s="11" t="s">
        <v>272</v>
      </c>
      <c r="B9" s="9"/>
      <c r="M9" s="9"/>
    </row>
    <row r="10" spans="1:13" x14ac:dyDescent="0.3">
      <c r="A10" s="7" t="s">
        <v>182</v>
      </c>
      <c r="B10" s="34">
        <f>'10. Assumptions'!E26</f>
        <v>0.2</v>
      </c>
      <c r="M10" s="9"/>
    </row>
    <row r="11" spans="1:13" x14ac:dyDescent="0.3">
      <c r="A11" s="7"/>
      <c r="B11" s="9"/>
      <c r="C11" s="8">
        <v>2019</v>
      </c>
      <c r="D11" s="8">
        <v>2020</v>
      </c>
      <c r="E11" s="8">
        <v>2021</v>
      </c>
      <c r="F11" s="8">
        <v>2022</v>
      </c>
      <c r="G11" s="8">
        <v>2023</v>
      </c>
      <c r="H11" s="8">
        <v>2024</v>
      </c>
      <c r="I11" s="8">
        <v>2025</v>
      </c>
      <c r="J11" s="8">
        <v>2026</v>
      </c>
      <c r="K11" s="8">
        <v>2027</v>
      </c>
      <c r="L11" s="8">
        <v>2028</v>
      </c>
      <c r="M11" s="17">
        <v>2029</v>
      </c>
    </row>
    <row r="12" spans="1:13" x14ac:dyDescent="0.3">
      <c r="A12" s="7"/>
      <c r="B12" s="9"/>
      <c r="C12" s="104" t="s">
        <v>273</v>
      </c>
      <c r="D12" s="100" t="s">
        <v>274</v>
      </c>
      <c r="E12" s="100" t="s">
        <v>274</v>
      </c>
      <c r="F12" s="100" t="s">
        <v>274</v>
      </c>
      <c r="G12" s="100" t="s">
        <v>274</v>
      </c>
      <c r="H12" s="100" t="s">
        <v>274</v>
      </c>
      <c r="I12" s="100" t="s">
        <v>274</v>
      </c>
      <c r="J12" s="100" t="s">
        <v>274</v>
      </c>
      <c r="K12" s="100" t="s">
        <v>274</v>
      </c>
      <c r="L12" s="100" t="s">
        <v>274</v>
      </c>
      <c r="M12" s="105" t="s">
        <v>274</v>
      </c>
    </row>
    <row r="13" spans="1:13" x14ac:dyDescent="0.3">
      <c r="A13" s="7" t="s">
        <v>164</v>
      </c>
      <c r="B13" s="9"/>
      <c r="C13" s="2">
        <v>0</v>
      </c>
      <c r="D13" s="2">
        <f>C7*$B$10</f>
        <v>2000</v>
      </c>
      <c r="E13" s="2">
        <f t="shared" ref="E13:M13" si="0">D7*$B$10</f>
        <v>2300</v>
      </c>
      <c r="F13" s="2">
        <f t="shared" si="0"/>
        <v>2645</v>
      </c>
      <c r="G13" s="2">
        <f t="shared" si="0"/>
        <v>3041.7499999999995</v>
      </c>
      <c r="H13" s="2">
        <f t="shared" si="0"/>
        <v>3498.0124999999989</v>
      </c>
      <c r="I13" s="2">
        <f t="shared" si="0"/>
        <v>4022.7143749999982</v>
      </c>
      <c r="J13" s="2">
        <f t="shared" si="0"/>
        <v>4626.121531249998</v>
      </c>
      <c r="K13" s="2">
        <f t="shared" si="0"/>
        <v>5320.0397609374968</v>
      </c>
      <c r="L13" s="2">
        <f t="shared" si="0"/>
        <v>6118.045725078121</v>
      </c>
      <c r="M13" s="12">
        <f t="shared" si="0"/>
        <v>7035.7525838398378</v>
      </c>
    </row>
    <row r="14" spans="1:13" x14ac:dyDescent="0.3">
      <c r="A14" s="7"/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12"/>
    </row>
    <row r="15" spans="1:13" x14ac:dyDescent="0.3">
      <c r="A15" s="11" t="s">
        <v>113</v>
      </c>
      <c r="B15" s="9"/>
      <c r="C15" s="18">
        <v>2019</v>
      </c>
      <c r="D15" s="18">
        <v>2020</v>
      </c>
      <c r="E15" s="18">
        <v>2021</v>
      </c>
      <c r="F15" s="18">
        <v>2022</v>
      </c>
      <c r="G15" s="18">
        <v>2023</v>
      </c>
      <c r="H15" s="18">
        <v>2024</v>
      </c>
      <c r="I15" s="18">
        <v>2025</v>
      </c>
      <c r="J15" s="18">
        <v>2026</v>
      </c>
      <c r="K15" s="18">
        <v>2027</v>
      </c>
      <c r="L15" s="18">
        <v>2028</v>
      </c>
      <c r="M15" s="19">
        <v>2029</v>
      </c>
    </row>
    <row r="16" spans="1:13" x14ac:dyDescent="0.3">
      <c r="A16" s="7"/>
      <c r="B16" s="9"/>
      <c r="C16" s="106" t="s">
        <v>273</v>
      </c>
      <c r="D16" s="107" t="s">
        <v>274</v>
      </c>
      <c r="E16" s="107" t="s">
        <v>274</v>
      </c>
      <c r="F16" s="107" t="s">
        <v>274</v>
      </c>
      <c r="G16" s="107" t="s">
        <v>274</v>
      </c>
      <c r="H16" s="107" t="s">
        <v>274</v>
      </c>
      <c r="I16" s="107" t="s">
        <v>274</v>
      </c>
      <c r="J16" s="107" t="s">
        <v>274</v>
      </c>
      <c r="K16" s="107" t="s">
        <v>274</v>
      </c>
      <c r="L16" s="107" t="s">
        <v>274</v>
      </c>
      <c r="M16" s="108" t="s">
        <v>274</v>
      </c>
    </row>
    <row r="17" spans="1:13" x14ac:dyDescent="0.3">
      <c r="A17" s="7" t="s">
        <v>184</v>
      </c>
      <c r="B17" s="34">
        <f>'10. Assumptions'!E27</f>
        <v>0.75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12"/>
    </row>
    <row r="18" spans="1:13" x14ac:dyDescent="0.3">
      <c r="A18" s="7"/>
      <c r="B18" s="9"/>
      <c r="M18" s="9"/>
    </row>
    <row r="19" spans="1:13" x14ac:dyDescent="0.3">
      <c r="A19" s="7" t="s">
        <v>183</v>
      </c>
      <c r="B19" s="9"/>
      <c r="C19">
        <v>0</v>
      </c>
      <c r="D19" s="2">
        <f>C7*$B$17</f>
        <v>7500</v>
      </c>
      <c r="E19" s="2">
        <f t="shared" ref="E19:M19" si="1">D7*$B$17</f>
        <v>8625</v>
      </c>
      <c r="F19" s="2">
        <f t="shared" si="1"/>
        <v>9918.7499999999982</v>
      </c>
      <c r="G19" s="2">
        <f t="shared" si="1"/>
        <v>11406.562499999996</v>
      </c>
      <c r="H19" s="2">
        <f t="shared" si="1"/>
        <v>13117.546874999995</v>
      </c>
      <c r="I19" s="2">
        <f t="shared" si="1"/>
        <v>15085.178906249992</v>
      </c>
      <c r="J19" s="2">
        <f t="shared" si="1"/>
        <v>17347.955742187492</v>
      </c>
      <c r="K19" s="2">
        <f t="shared" si="1"/>
        <v>19950.149103515614</v>
      </c>
      <c r="L19" s="2">
        <f t="shared" si="1"/>
        <v>22942.671469042951</v>
      </c>
      <c r="M19" s="12">
        <f t="shared" si="1"/>
        <v>26384.07218939939</v>
      </c>
    </row>
    <row r="20" spans="1:13" x14ac:dyDescent="0.3">
      <c r="A20" s="7"/>
      <c r="B20" s="9"/>
      <c r="D20" s="2"/>
      <c r="E20" s="2"/>
      <c r="F20" s="2"/>
      <c r="G20" s="2"/>
      <c r="H20" s="2"/>
      <c r="I20" s="2"/>
      <c r="J20" s="2"/>
      <c r="K20" s="2"/>
      <c r="L20" s="2"/>
      <c r="M20" s="12"/>
    </row>
    <row r="21" spans="1:13" x14ac:dyDescent="0.3">
      <c r="A21" s="7" t="s">
        <v>13</v>
      </c>
      <c r="B21" s="34">
        <v>0.5</v>
      </c>
      <c r="C21">
        <v>0</v>
      </c>
      <c r="D21" s="2">
        <f>D19*$B$21</f>
        <v>3750</v>
      </c>
      <c r="E21" s="2">
        <f t="shared" ref="E21:M21" si="2">E19*$B$21</f>
        <v>4312.5</v>
      </c>
      <c r="F21" s="2">
        <f t="shared" si="2"/>
        <v>4959.3749999999991</v>
      </c>
      <c r="G21" s="2">
        <f t="shared" si="2"/>
        <v>5703.2812499999982</v>
      </c>
      <c r="H21" s="2">
        <f t="shared" si="2"/>
        <v>6558.7734374999973</v>
      </c>
      <c r="I21" s="2">
        <f t="shared" si="2"/>
        <v>7542.589453124996</v>
      </c>
      <c r="J21" s="2">
        <f t="shared" si="2"/>
        <v>8673.9778710937462</v>
      </c>
      <c r="K21" s="2">
        <f t="shared" si="2"/>
        <v>9975.0745517578071</v>
      </c>
      <c r="L21" s="2">
        <f t="shared" si="2"/>
        <v>11471.335734521475</v>
      </c>
      <c r="M21" s="12">
        <f t="shared" si="2"/>
        <v>13192.036094699695</v>
      </c>
    </row>
    <row r="22" spans="1:13" x14ac:dyDescent="0.3">
      <c r="A22" s="7"/>
      <c r="B22" s="34"/>
      <c r="D22" s="2"/>
      <c r="E22" s="2"/>
      <c r="F22" s="2"/>
      <c r="G22" s="2"/>
      <c r="H22" s="2"/>
      <c r="I22" s="2"/>
      <c r="J22" s="2"/>
      <c r="K22" s="2"/>
      <c r="L22" s="2"/>
      <c r="M22" s="12"/>
    </row>
    <row r="23" spans="1:13" x14ac:dyDescent="0.3">
      <c r="A23" s="7" t="s">
        <v>14</v>
      </c>
      <c r="B23" s="34"/>
      <c r="C23">
        <v>0</v>
      </c>
      <c r="D23" s="2">
        <f>D19-D21</f>
        <v>3750</v>
      </c>
      <c r="E23" s="2">
        <f t="shared" ref="E23:M23" si="3">E19-E21</f>
        <v>4312.5</v>
      </c>
      <c r="F23" s="2">
        <f t="shared" si="3"/>
        <v>4959.3749999999991</v>
      </c>
      <c r="G23" s="2">
        <f t="shared" si="3"/>
        <v>5703.2812499999982</v>
      </c>
      <c r="H23" s="2">
        <f t="shared" si="3"/>
        <v>6558.7734374999973</v>
      </c>
      <c r="I23" s="2">
        <f t="shared" si="3"/>
        <v>7542.589453124996</v>
      </c>
      <c r="J23" s="2">
        <f t="shared" si="3"/>
        <v>8673.9778710937462</v>
      </c>
      <c r="K23" s="2">
        <f t="shared" si="3"/>
        <v>9975.0745517578071</v>
      </c>
      <c r="L23" s="2">
        <f t="shared" si="3"/>
        <v>11471.335734521475</v>
      </c>
      <c r="M23" s="12">
        <f t="shared" si="3"/>
        <v>13192.036094699695</v>
      </c>
    </row>
    <row r="24" spans="1:13" x14ac:dyDescent="0.3">
      <c r="A24" s="7"/>
      <c r="B24" s="34"/>
      <c r="D24" s="2"/>
      <c r="E24" s="2"/>
      <c r="F24" s="2"/>
      <c r="G24" s="2"/>
      <c r="H24" s="2"/>
      <c r="I24" s="2"/>
      <c r="J24" s="2"/>
      <c r="K24" s="2"/>
      <c r="L24" s="2"/>
      <c r="M24" s="12"/>
    </row>
    <row r="25" spans="1:13" x14ac:dyDescent="0.3">
      <c r="A25" s="7"/>
      <c r="B25" s="9"/>
      <c r="M25" s="9"/>
    </row>
    <row r="26" spans="1:13" x14ac:dyDescent="0.3">
      <c r="A26" s="11" t="s">
        <v>114</v>
      </c>
      <c r="B26" s="9"/>
      <c r="C26" s="8">
        <v>2019</v>
      </c>
      <c r="D26" s="8">
        <v>2020</v>
      </c>
      <c r="E26" s="8">
        <v>2021</v>
      </c>
      <c r="F26" s="8">
        <v>2022</v>
      </c>
      <c r="G26" s="8">
        <v>2023</v>
      </c>
      <c r="H26" s="8">
        <v>2024</v>
      </c>
      <c r="I26" s="8">
        <v>2025</v>
      </c>
      <c r="J26" s="8">
        <v>2026</v>
      </c>
      <c r="K26" s="8">
        <v>2027</v>
      </c>
      <c r="L26" s="8">
        <v>2028</v>
      </c>
      <c r="M26" s="17">
        <v>2029</v>
      </c>
    </row>
    <row r="27" spans="1:13" x14ac:dyDescent="0.3">
      <c r="A27" s="7"/>
      <c r="B27" s="9"/>
      <c r="C27" s="104" t="s">
        <v>273</v>
      </c>
      <c r="D27" s="100" t="s">
        <v>275</v>
      </c>
      <c r="E27" s="100" t="s">
        <v>275</v>
      </c>
      <c r="F27" s="100" t="s">
        <v>275</v>
      </c>
      <c r="G27" s="100" t="s">
        <v>275</v>
      </c>
      <c r="H27" s="100" t="s">
        <v>275</v>
      </c>
      <c r="I27" s="100" t="s">
        <v>275</v>
      </c>
      <c r="J27" s="100" t="s">
        <v>275</v>
      </c>
      <c r="K27" s="100" t="s">
        <v>275</v>
      </c>
      <c r="L27" s="100" t="s">
        <v>275</v>
      </c>
      <c r="M27" s="105" t="s">
        <v>275</v>
      </c>
    </row>
    <row r="28" spans="1:13" x14ac:dyDescent="0.3">
      <c r="A28" s="7" t="s">
        <v>88</v>
      </c>
      <c r="B28" s="34">
        <f>'10. Assumptions'!E30</f>
        <v>0.05</v>
      </c>
      <c r="M28" s="9"/>
    </row>
    <row r="29" spans="1:13" x14ac:dyDescent="0.3">
      <c r="A29" s="7"/>
      <c r="B29" s="9"/>
      <c r="M29" s="9"/>
    </row>
    <row r="30" spans="1:13" x14ac:dyDescent="0.3">
      <c r="A30" s="7" t="s">
        <v>12</v>
      </c>
      <c r="B30" s="9"/>
      <c r="C30">
        <v>0</v>
      </c>
      <c r="D30" s="2">
        <f>D23*$B$28</f>
        <v>187.5</v>
      </c>
      <c r="E30" s="2">
        <f t="shared" ref="E30:M30" si="4">E23*$B$28</f>
        <v>215.625</v>
      </c>
      <c r="F30" s="2">
        <f t="shared" si="4"/>
        <v>247.96874999999997</v>
      </c>
      <c r="G30" s="2">
        <f t="shared" si="4"/>
        <v>285.16406249999994</v>
      </c>
      <c r="H30" s="2">
        <f t="shared" si="4"/>
        <v>327.9386718749999</v>
      </c>
      <c r="I30" s="2">
        <f t="shared" si="4"/>
        <v>377.12947265624985</v>
      </c>
      <c r="J30" s="2">
        <f t="shared" si="4"/>
        <v>433.69889355468734</v>
      </c>
      <c r="K30" s="2">
        <f t="shared" si="4"/>
        <v>498.75372758789035</v>
      </c>
      <c r="L30" s="2">
        <f t="shared" si="4"/>
        <v>573.56678672607381</v>
      </c>
      <c r="M30" s="12">
        <f t="shared" si="4"/>
        <v>659.60180473498485</v>
      </c>
    </row>
    <row r="31" spans="1:13" x14ac:dyDescent="0.3">
      <c r="A31" s="7"/>
      <c r="B31" s="9"/>
      <c r="M31" s="9"/>
    </row>
    <row r="32" spans="1:13" x14ac:dyDescent="0.3">
      <c r="A32" s="13" t="s">
        <v>115</v>
      </c>
      <c r="B32" s="32"/>
      <c r="C32" s="14">
        <v>0</v>
      </c>
      <c r="D32" s="15">
        <f>D23-D30</f>
        <v>3562.5</v>
      </c>
      <c r="E32" s="15">
        <f t="shared" ref="E32:M32" si="5">E23-E30</f>
        <v>4096.875</v>
      </c>
      <c r="F32" s="15">
        <f t="shared" si="5"/>
        <v>4711.4062499999991</v>
      </c>
      <c r="G32" s="15">
        <f t="shared" si="5"/>
        <v>5418.1171874999982</v>
      </c>
      <c r="H32" s="15">
        <f t="shared" si="5"/>
        <v>6230.8347656249971</v>
      </c>
      <c r="I32" s="15">
        <f t="shared" si="5"/>
        <v>7165.4599804687459</v>
      </c>
      <c r="J32" s="15">
        <f t="shared" si="5"/>
        <v>8240.2789775390593</v>
      </c>
      <c r="K32" s="15">
        <f t="shared" si="5"/>
        <v>9476.3208241699176</v>
      </c>
      <c r="L32" s="15">
        <f t="shared" si="5"/>
        <v>10897.768947795401</v>
      </c>
      <c r="M32" s="16">
        <f t="shared" si="5"/>
        <v>12532.434289964711</v>
      </c>
    </row>
    <row r="35" spans="1:13" x14ac:dyDescent="0.3">
      <c r="A35" s="23" t="s">
        <v>165</v>
      </c>
      <c r="B35" s="6"/>
      <c r="C35" s="24">
        <v>2019</v>
      </c>
      <c r="D35" s="24">
        <v>2020</v>
      </c>
      <c r="E35" s="24">
        <v>2021</v>
      </c>
      <c r="F35" s="24">
        <v>2022</v>
      </c>
      <c r="G35" s="24">
        <v>2023</v>
      </c>
      <c r="H35" s="24">
        <v>2024</v>
      </c>
      <c r="I35" s="24">
        <v>2025</v>
      </c>
      <c r="J35" s="24">
        <v>2026</v>
      </c>
      <c r="K35" s="24">
        <v>2027</v>
      </c>
      <c r="L35" s="24">
        <v>2028</v>
      </c>
      <c r="M35" s="25">
        <v>2029</v>
      </c>
    </row>
    <row r="36" spans="1:13" x14ac:dyDescent="0.3">
      <c r="A36" s="7"/>
      <c r="B36" s="9"/>
      <c r="C36" s="101" t="s">
        <v>166</v>
      </c>
      <c r="D36" s="102" t="s">
        <v>167</v>
      </c>
      <c r="E36" s="102" t="s">
        <v>167</v>
      </c>
      <c r="F36" s="102" t="s">
        <v>167</v>
      </c>
      <c r="G36" s="102" t="s">
        <v>167</v>
      </c>
      <c r="H36" s="102" t="s">
        <v>167</v>
      </c>
      <c r="I36" s="102" t="s">
        <v>167</v>
      </c>
      <c r="J36" s="102" t="s">
        <v>167</v>
      </c>
      <c r="K36" s="102" t="s">
        <v>167</v>
      </c>
      <c r="L36" s="102" t="s">
        <v>167</v>
      </c>
      <c r="M36" s="103" t="s">
        <v>167</v>
      </c>
    </row>
    <row r="37" spans="1:13" x14ac:dyDescent="0.3">
      <c r="A37" s="7"/>
      <c r="B37" s="9"/>
      <c r="M37" s="9"/>
    </row>
    <row r="38" spans="1:13" x14ac:dyDescent="0.3">
      <c r="A38" s="7" t="s">
        <v>160</v>
      </c>
      <c r="B38" s="9"/>
      <c r="C38" s="2">
        <f>C7</f>
        <v>10000</v>
      </c>
      <c r="D38" s="2">
        <f t="shared" ref="D38:M38" si="6">D7</f>
        <v>11500</v>
      </c>
      <c r="E38" s="2">
        <f t="shared" si="6"/>
        <v>13224.999999999998</v>
      </c>
      <c r="F38" s="2">
        <f t="shared" si="6"/>
        <v>15208.749999999996</v>
      </c>
      <c r="G38" s="2">
        <f t="shared" si="6"/>
        <v>17490.062499999993</v>
      </c>
      <c r="H38" s="2">
        <f t="shared" si="6"/>
        <v>20113.571874999991</v>
      </c>
      <c r="I38" s="2">
        <f t="shared" si="6"/>
        <v>23130.607656249987</v>
      </c>
      <c r="J38" s="2">
        <f t="shared" si="6"/>
        <v>26600.198804687483</v>
      </c>
      <c r="K38" s="2">
        <f t="shared" si="6"/>
        <v>30590.228625390602</v>
      </c>
      <c r="L38" s="2">
        <f t="shared" si="6"/>
        <v>35178.762919199187</v>
      </c>
      <c r="M38" s="12">
        <f t="shared" si="6"/>
        <v>0</v>
      </c>
    </row>
    <row r="39" spans="1:13" x14ac:dyDescent="0.3">
      <c r="A39" s="7"/>
      <c r="B39" s="9"/>
      <c r="M39" s="9"/>
    </row>
    <row r="40" spans="1:13" x14ac:dyDescent="0.3">
      <c r="A40" s="7" t="s">
        <v>161</v>
      </c>
      <c r="B40" s="9"/>
      <c r="D40">
        <v>1</v>
      </c>
      <c r="E40">
        <v>2</v>
      </c>
      <c r="F40">
        <v>2</v>
      </c>
      <c r="G40">
        <v>2</v>
      </c>
      <c r="H40">
        <v>3</v>
      </c>
      <c r="I40">
        <v>3</v>
      </c>
      <c r="J40">
        <v>4</v>
      </c>
      <c r="K40">
        <v>5</v>
      </c>
      <c r="L40">
        <v>5</v>
      </c>
      <c r="M40" s="9">
        <v>5</v>
      </c>
    </row>
    <row r="41" spans="1:13" x14ac:dyDescent="0.3">
      <c r="A41" s="7" t="s">
        <v>162</v>
      </c>
      <c r="B41" s="9"/>
      <c r="D41">
        <f>'10. Assumptions'!$O$26*D40</f>
        <v>68</v>
      </c>
      <c r="E41">
        <f>'10. Assumptions'!$O$26*E40</f>
        <v>136</v>
      </c>
      <c r="F41">
        <f>'10. Assumptions'!$O$26*F40</f>
        <v>136</v>
      </c>
      <c r="G41">
        <f>'10. Assumptions'!$O$26*G40</f>
        <v>136</v>
      </c>
      <c r="H41">
        <f>'10. Assumptions'!$O$26*H40</f>
        <v>204</v>
      </c>
      <c r="I41">
        <f>'10. Assumptions'!$O$26*I40</f>
        <v>204</v>
      </c>
      <c r="J41">
        <f>'10. Assumptions'!$O$26*J40</f>
        <v>272</v>
      </c>
      <c r="K41">
        <f>'10. Assumptions'!$O$26*K40</f>
        <v>340</v>
      </c>
      <c r="L41">
        <f>'10. Assumptions'!$O$26*L40</f>
        <v>340</v>
      </c>
      <c r="M41" s="9">
        <f>'10. Assumptions'!$O$26*M40</f>
        <v>340</v>
      </c>
    </row>
    <row r="42" spans="1:13" x14ac:dyDescent="0.3">
      <c r="A42" s="7" t="s">
        <v>163</v>
      </c>
      <c r="B42" s="9"/>
      <c r="D42" s="2">
        <f>C38/D41</f>
        <v>147.05882352941177</v>
      </c>
      <c r="E42" s="2">
        <f t="shared" ref="E42:M42" si="7">D38/E41</f>
        <v>84.558823529411768</v>
      </c>
      <c r="F42" s="2">
        <f t="shared" si="7"/>
        <v>97.242647058823522</v>
      </c>
      <c r="G42" s="2">
        <f t="shared" si="7"/>
        <v>111.82904411764703</v>
      </c>
      <c r="H42" s="2">
        <f t="shared" si="7"/>
        <v>85.735600490196049</v>
      </c>
      <c r="I42" s="2">
        <f t="shared" si="7"/>
        <v>98.595940563725449</v>
      </c>
      <c r="J42" s="2">
        <f t="shared" si="7"/>
        <v>85.038998736213188</v>
      </c>
      <c r="K42" s="2">
        <f t="shared" si="7"/>
        <v>78.235878837316122</v>
      </c>
      <c r="L42" s="2">
        <f t="shared" si="7"/>
        <v>89.971260662913537</v>
      </c>
      <c r="M42" s="12">
        <f t="shared" si="7"/>
        <v>103.46694976235055</v>
      </c>
    </row>
    <row r="43" spans="1:13" x14ac:dyDescent="0.3">
      <c r="A43" s="7" t="s">
        <v>168</v>
      </c>
      <c r="B43" s="9"/>
      <c r="D43" s="2">
        <f>D13/'10. Assumptions'!$D$91</f>
        <v>400</v>
      </c>
      <c r="E43" s="2">
        <f>E13/'10. Assumptions'!$D$91</f>
        <v>460</v>
      </c>
      <c r="F43" s="2">
        <f>F13/'10. Assumptions'!$D$91</f>
        <v>529</v>
      </c>
      <c r="G43" s="2">
        <f>G13/'10. Assumptions'!$D$91</f>
        <v>608.34999999999991</v>
      </c>
      <c r="H43" s="2">
        <f>H13/'10. Assumptions'!$D$91</f>
        <v>699.60249999999974</v>
      </c>
      <c r="I43" s="2">
        <f>I13/'10. Assumptions'!$D$91</f>
        <v>804.54287499999964</v>
      </c>
      <c r="J43" s="2">
        <f>J13/'10. Assumptions'!$D$91</f>
        <v>925.22430624999959</v>
      </c>
      <c r="K43" s="2">
        <f>K13/'10. Assumptions'!$D$91</f>
        <v>1064.0079521874993</v>
      </c>
      <c r="L43" s="2">
        <f>L13/'10. Assumptions'!$D$91</f>
        <v>1223.6091450156241</v>
      </c>
      <c r="M43" s="12">
        <f>M13/'10. Assumptions'!$D$91</f>
        <v>1407.1505167679675</v>
      </c>
    </row>
    <row r="44" spans="1:13" x14ac:dyDescent="0.3">
      <c r="A44" s="7"/>
      <c r="B44" s="9"/>
      <c r="M44" s="9"/>
    </row>
    <row r="45" spans="1:13" x14ac:dyDescent="0.3">
      <c r="A45" s="7" t="s">
        <v>248</v>
      </c>
      <c r="B45" s="9"/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 s="9">
        <v>1</v>
      </c>
    </row>
    <row r="46" spans="1:13" x14ac:dyDescent="0.3">
      <c r="A46" s="7" t="s">
        <v>252</v>
      </c>
      <c r="B46" s="9"/>
      <c r="D46">
        <f>D45*'10. Assumptions'!$K$30</f>
        <v>100</v>
      </c>
      <c r="E46">
        <f>E45*'10. Assumptions'!$K$30</f>
        <v>100</v>
      </c>
      <c r="F46">
        <f>F45*'10. Assumptions'!$K$30</f>
        <v>100</v>
      </c>
      <c r="G46">
        <f>G45*'10. Assumptions'!$K$30</f>
        <v>100</v>
      </c>
      <c r="H46">
        <f>H45*'10. Assumptions'!$K$30</f>
        <v>100</v>
      </c>
      <c r="I46">
        <f>I45*'10. Assumptions'!$K$30</f>
        <v>100</v>
      </c>
      <c r="J46">
        <f>J45*'10. Assumptions'!$K$30</f>
        <v>100</v>
      </c>
      <c r="K46">
        <f>K45*'10. Assumptions'!$K$30</f>
        <v>100</v>
      </c>
      <c r="L46">
        <f>L45*'10. Assumptions'!$K$30</f>
        <v>100</v>
      </c>
      <c r="M46" s="9">
        <f>M45*'10. Assumptions'!$K$30</f>
        <v>100</v>
      </c>
    </row>
    <row r="47" spans="1:13" x14ac:dyDescent="0.3">
      <c r="A47" s="7" t="s">
        <v>249</v>
      </c>
      <c r="B47" s="9"/>
      <c r="D47" s="2">
        <f>D23/D46</f>
        <v>37.5</v>
      </c>
      <c r="E47" s="2">
        <f t="shared" ref="E47:M47" si="8">E23/E46</f>
        <v>43.125</v>
      </c>
      <c r="F47" s="2">
        <f t="shared" si="8"/>
        <v>49.593749999999993</v>
      </c>
      <c r="G47" s="2">
        <f t="shared" si="8"/>
        <v>57.032812499999984</v>
      </c>
      <c r="H47" s="2">
        <f t="shared" si="8"/>
        <v>65.587734374999968</v>
      </c>
      <c r="I47" s="2">
        <f t="shared" si="8"/>
        <v>75.425894531249966</v>
      </c>
      <c r="J47" s="2">
        <f t="shared" si="8"/>
        <v>86.739778710937458</v>
      </c>
      <c r="K47" s="2">
        <f t="shared" si="8"/>
        <v>99.750745517578068</v>
      </c>
      <c r="L47" s="2">
        <f t="shared" si="8"/>
        <v>114.71335734521476</v>
      </c>
      <c r="M47" s="12">
        <f t="shared" si="8"/>
        <v>131.92036094699696</v>
      </c>
    </row>
    <row r="48" spans="1:13" x14ac:dyDescent="0.3">
      <c r="A48" s="7" t="s">
        <v>259</v>
      </c>
      <c r="B48" s="9"/>
      <c r="D48" s="2">
        <f>D30</f>
        <v>187.5</v>
      </c>
      <c r="E48" s="2">
        <f t="shared" ref="E48:M48" si="9">E30</f>
        <v>215.625</v>
      </c>
      <c r="F48" s="2">
        <f t="shared" si="9"/>
        <v>247.96874999999997</v>
      </c>
      <c r="G48" s="2">
        <f t="shared" si="9"/>
        <v>285.16406249999994</v>
      </c>
      <c r="H48" s="2">
        <f t="shared" si="9"/>
        <v>327.9386718749999</v>
      </c>
      <c r="I48" s="2">
        <f t="shared" si="9"/>
        <v>377.12947265624985</v>
      </c>
      <c r="J48" s="2">
        <f t="shared" si="9"/>
        <v>433.69889355468734</v>
      </c>
      <c r="K48" s="2">
        <f t="shared" si="9"/>
        <v>498.75372758789035</v>
      </c>
      <c r="L48" s="2">
        <f t="shared" si="9"/>
        <v>573.56678672607381</v>
      </c>
      <c r="M48" s="12">
        <f t="shared" si="9"/>
        <v>659.60180473498485</v>
      </c>
    </row>
    <row r="49" spans="1:13" x14ac:dyDescent="0.3">
      <c r="A49" s="7" t="s">
        <v>250</v>
      </c>
      <c r="B49" s="9"/>
      <c r="D49" s="2">
        <f>D48/'10. Assumptions'!$E$105</f>
        <v>9.375</v>
      </c>
      <c r="E49" s="2">
        <f>E48/'10. Assumptions'!$E$105</f>
        <v>10.78125</v>
      </c>
      <c r="F49" s="2">
        <f>F48/'10. Assumptions'!$E$105</f>
        <v>12.398437499999998</v>
      </c>
      <c r="G49" s="2">
        <f>G48/'10. Assumptions'!$E$105</f>
        <v>14.258203124999998</v>
      </c>
      <c r="H49" s="2">
        <f>H48/'10. Assumptions'!$E$105</f>
        <v>16.396933593749996</v>
      </c>
      <c r="I49" s="2">
        <f>I48/'10. Assumptions'!$E$105</f>
        <v>18.856473632812492</v>
      </c>
      <c r="J49" s="2">
        <f>J48/'10. Assumptions'!$E$105</f>
        <v>21.684944677734368</v>
      </c>
      <c r="K49" s="2">
        <f>K48/'10. Assumptions'!$E$105</f>
        <v>24.937686379394517</v>
      </c>
      <c r="L49" s="2">
        <f>L48/'10. Assumptions'!$E$105</f>
        <v>28.67833933630369</v>
      </c>
      <c r="M49" s="12">
        <f>M48/'10. Assumptions'!$E$105</f>
        <v>32.980090236749241</v>
      </c>
    </row>
    <row r="50" spans="1:13" x14ac:dyDescent="0.3">
      <c r="A50" s="7"/>
      <c r="B50" s="9"/>
      <c r="M50" s="9"/>
    </row>
    <row r="51" spans="1:13" x14ac:dyDescent="0.3">
      <c r="A51" s="7" t="s">
        <v>261</v>
      </c>
      <c r="B51" s="9"/>
      <c r="D51" s="2">
        <f>D32</f>
        <v>3562.5</v>
      </c>
      <c r="E51" s="2">
        <f t="shared" ref="E51:M51" si="10">E32</f>
        <v>4096.875</v>
      </c>
      <c r="F51" s="2">
        <f t="shared" si="10"/>
        <v>4711.4062499999991</v>
      </c>
      <c r="G51" s="2">
        <f t="shared" si="10"/>
        <v>5418.1171874999982</v>
      </c>
      <c r="H51" s="2">
        <f t="shared" si="10"/>
        <v>6230.8347656249971</v>
      </c>
      <c r="I51" s="2">
        <f t="shared" si="10"/>
        <v>7165.4599804687459</v>
      </c>
      <c r="J51" s="2">
        <f t="shared" si="10"/>
        <v>8240.2789775390593</v>
      </c>
      <c r="K51" s="2">
        <f t="shared" si="10"/>
        <v>9476.3208241699176</v>
      </c>
      <c r="L51" s="2">
        <f t="shared" si="10"/>
        <v>10897.768947795401</v>
      </c>
      <c r="M51" s="12">
        <f t="shared" si="10"/>
        <v>12532.434289964711</v>
      </c>
    </row>
    <row r="52" spans="1:13" x14ac:dyDescent="0.3">
      <c r="A52" s="26" t="s">
        <v>262</v>
      </c>
      <c r="B52" s="32"/>
      <c r="C52" s="14"/>
      <c r="D52" s="15">
        <f>D51/'10. Assumptions'!$D$95</f>
        <v>712.5</v>
      </c>
      <c r="E52" s="15">
        <f>E51/'10. Assumptions'!$D$95</f>
        <v>819.375</v>
      </c>
      <c r="F52" s="15">
        <f>F51/'10. Assumptions'!$D$95</f>
        <v>942.28124999999977</v>
      </c>
      <c r="G52" s="15">
        <f>G51/'10. Assumptions'!$D$95</f>
        <v>1083.6234374999997</v>
      </c>
      <c r="H52" s="15">
        <f>H51/'10. Assumptions'!$D$95</f>
        <v>1246.1669531249995</v>
      </c>
      <c r="I52" s="15">
        <f>I51/'10. Assumptions'!$D$95</f>
        <v>1433.0919960937492</v>
      </c>
      <c r="J52" s="15">
        <f>J51/'10. Assumptions'!$D$95</f>
        <v>1648.0557955078118</v>
      </c>
      <c r="K52" s="15">
        <f>K51/'10. Assumptions'!$D$95</f>
        <v>1895.2641648339836</v>
      </c>
      <c r="L52" s="15">
        <f>L51/'10. Assumptions'!$D$95</f>
        <v>2179.5537895590801</v>
      </c>
      <c r="M52" s="16">
        <f>M51/'10. Assumptions'!$D$95</f>
        <v>2506.4868579929421</v>
      </c>
    </row>
  </sheetData>
  <phoneticPr fontId="12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80"/>
  <sheetViews>
    <sheetView topLeftCell="A26" zoomScale="85" zoomScaleNormal="85" workbookViewId="0">
      <selection activeCell="A27" sqref="A27:F51"/>
    </sheetView>
  </sheetViews>
  <sheetFormatPr defaultColWidth="11" defaultRowHeight="13.5" x14ac:dyDescent="0.3"/>
  <cols>
    <col min="1" max="2" width="21.84375" customWidth="1"/>
    <col min="5" max="5" width="12.765625" customWidth="1"/>
  </cols>
  <sheetData>
    <row r="1" spans="1:15" x14ac:dyDescent="0.3">
      <c r="A1" s="129" t="s">
        <v>468</v>
      </c>
    </row>
    <row r="2" spans="1:15" x14ac:dyDescent="0.3">
      <c r="A2" s="28"/>
      <c r="B2" s="4"/>
      <c r="C2" s="33" t="s">
        <v>233</v>
      </c>
      <c r="D2" s="29"/>
      <c r="E2" s="30"/>
      <c r="F2" s="29">
        <v>2019</v>
      </c>
      <c r="G2" s="29">
        <v>2020</v>
      </c>
      <c r="H2" s="29">
        <v>2021</v>
      </c>
      <c r="I2" s="29">
        <v>2022</v>
      </c>
      <c r="J2" s="29">
        <v>2023</v>
      </c>
      <c r="K2" s="29">
        <v>2024</v>
      </c>
      <c r="L2" s="29">
        <v>2025</v>
      </c>
      <c r="M2" s="29">
        <v>2026</v>
      </c>
      <c r="N2" s="29">
        <v>2027</v>
      </c>
      <c r="O2" s="30">
        <v>2028</v>
      </c>
    </row>
    <row r="3" spans="1:15" x14ac:dyDescent="0.3">
      <c r="A3" s="36" t="s">
        <v>420</v>
      </c>
      <c r="B3" s="37"/>
      <c r="C3" s="36" t="s">
        <v>421</v>
      </c>
      <c r="D3" s="37" t="s">
        <v>422</v>
      </c>
      <c r="E3" s="38" t="s">
        <v>423</v>
      </c>
      <c r="F3" s="14"/>
      <c r="G3" s="14"/>
      <c r="H3" s="14"/>
      <c r="I3" s="14"/>
      <c r="J3" s="14"/>
      <c r="K3" s="14"/>
      <c r="L3" s="14"/>
      <c r="M3" s="14"/>
      <c r="N3" s="14"/>
      <c r="O3" s="32"/>
    </row>
    <row r="4" spans="1:15" x14ac:dyDescent="0.3">
      <c r="A4" s="7" t="str">
        <f>'10. Assumptions'!B58</f>
        <v>Depulping machine</v>
      </c>
      <c r="C4" s="7">
        <f>'10. Assumptions'!D58</f>
        <v>1</v>
      </c>
      <c r="D4">
        <f>'10. Assumptions'!E58</f>
        <v>300000</v>
      </c>
      <c r="E4" s="34">
        <f>'10. Assumptions'!G58</f>
        <v>0.2</v>
      </c>
      <c r="F4" s="142">
        <v>1</v>
      </c>
      <c r="G4" s="142">
        <v>0</v>
      </c>
      <c r="H4" s="142">
        <v>1</v>
      </c>
      <c r="I4" s="142">
        <v>0</v>
      </c>
      <c r="J4" s="142">
        <v>0</v>
      </c>
      <c r="K4" s="142">
        <v>1</v>
      </c>
      <c r="L4" s="142">
        <v>0</v>
      </c>
      <c r="M4" s="142">
        <v>1</v>
      </c>
      <c r="N4" s="142">
        <v>1</v>
      </c>
      <c r="O4" s="145">
        <v>0</v>
      </c>
    </row>
    <row r="5" spans="1:15" x14ac:dyDescent="0.3">
      <c r="A5" s="7" t="str">
        <f>'10. Assumptions'!B59</f>
        <v>125 micron stainless steel sieves</v>
      </c>
      <c r="C5" s="7">
        <f>'10. Assumptions'!D59</f>
        <v>2</v>
      </c>
      <c r="D5">
        <f>'10. Assumptions'!E59</f>
        <v>5000</v>
      </c>
      <c r="E5" s="34">
        <f>'10. Assumptions'!G59</f>
        <v>0.1</v>
      </c>
      <c r="F5" s="142">
        <v>2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142">
        <v>0</v>
      </c>
      <c r="O5" s="145">
        <v>0</v>
      </c>
    </row>
    <row r="6" spans="1:15" x14ac:dyDescent="0.3">
      <c r="A6" s="7" t="str">
        <f>'10. Assumptions'!B60</f>
        <v>Oil press</v>
      </c>
      <c r="C6" s="7">
        <f>'10. Assumptions'!D60</f>
        <v>1</v>
      </c>
      <c r="D6">
        <f>'10. Assumptions'!E60</f>
        <v>300000</v>
      </c>
      <c r="E6" s="34">
        <f>'10. Assumptions'!G60</f>
        <v>0.2</v>
      </c>
      <c r="F6" s="142">
        <v>1</v>
      </c>
      <c r="G6" s="142">
        <v>0</v>
      </c>
      <c r="H6" s="142">
        <v>0</v>
      </c>
      <c r="I6" s="142">
        <v>0</v>
      </c>
      <c r="J6" s="142">
        <v>0</v>
      </c>
      <c r="K6" s="142">
        <v>1</v>
      </c>
      <c r="L6" s="142">
        <v>0</v>
      </c>
      <c r="M6" s="142">
        <v>0</v>
      </c>
      <c r="N6" s="142">
        <v>0</v>
      </c>
      <c r="O6" s="145">
        <v>0</v>
      </c>
    </row>
    <row r="7" spans="1:15" x14ac:dyDescent="0.3">
      <c r="A7" s="7" t="s">
        <v>84</v>
      </c>
      <c r="C7" s="7">
        <f>'10. Assumptions'!D100</f>
        <v>2</v>
      </c>
      <c r="D7" s="2">
        <f>'10. Assumptions'!F100</f>
        <v>5000</v>
      </c>
      <c r="E7" s="34">
        <f>'10. Assumptions'!G100</f>
        <v>0.1</v>
      </c>
      <c r="F7" s="142">
        <f>$C$7</f>
        <v>2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5">
        <v>0</v>
      </c>
    </row>
    <row r="8" spans="1:15" x14ac:dyDescent="0.3">
      <c r="A8" s="7" t="s">
        <v>85</v>
      </c>
      <c r="C8" s="7">
        <f>'10. Assumptions'!D101</f>
        <v>2</v>
      </c>
      <c r="D8" s="2">
        <f>'10. Assumptions'!F101</f>
        <v>5000</v>
      </c>
      <c r="E8" s="34">
        <f>'10. Assumptions'!G101</f>
        <v>0.1</v>
      </c>
      <c r="F8" s="142">
        <f>$C$8</f>
        <v>2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5">
        <v>0</v>
      </c>
    </row>
    <row r="9" spans="1:15" x14ac:dyDescent="0.3">
      <c r="A9" s="7" t="str">
        <f>'10. Assumptions'!B61</f>
        <v>Electronic scales</v>
      </c>
      <c r="C9" s="7">
        <f>'10. Assumptions'!D61</f>
        <v>3</v>
      </c>
      <c r="D9">
        <f>'10. Assumptions'!E61</f>
        <v>40000</v>
      </c>
      <c r="E9" s="34">
        <f>'10. Assumptions'!G61</f>
        <v>0.2</v>
      </c>
      <c r="F9" s="142">
        <v>3</v>
      </c>
      <c r="G9" s="142">
        <v>0</v>
      </c>
      <c r="H9" s="142">
        <v>0</v>
      </c>
      <c r="I9" s="142">
        <v>0</v>
      </c>
      <c r="J9" s="142">
        <v>0</v>
      </c>
      <c r="K9" s="142">
        <v>3</v>
      </c>
      <c r="L9" s="142">
        <v>0</v>
      </c>
      <c r="M9" s="142">
        <v>0</v>
      </c>
      <c r="N9" s="142">
        <v>0</v>
      </c>
      <c r="O9" s="145">
        <v>0</v>
      </c>
    </row>
    <row r="10" spans="1:15" x14ac:dyDescent="0.3">
      <c r="A10" s="7" t="str">
        <f>'10. Assumptions'!B62</f>
        <v>Trolleys</v>
      </c>
      <c r="C10" s="7">
        <f>'10. Assumptions'!D62</f>
        <v>4</v>
      </c>
      <c r="D10">
        <f>'10. Assumptions'!E62</f>
        <v>1000</v>
      </c>
      <c r="E10" s="34">
        <f>'10. Assumptions'!G62</f>
        <v>0.1</v>
      </c>
      <c r="F10" s="142">
        <v>4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5">
        <v>0</v>
      </c>
    </row>
    <row r="11" spans="1:15" x14ac:dyDescent="0.3">
      <c r="A11" s="7" t="str">
        <f>'10. Assumptions'!B63</f>
        <v>Oil decanting</v>
      </c>
      <c r="C11" s="7">
        <f>'10. Assumptions'!D63</f>
        <v>4</v>
      </c>
      <c r="D11">
        <f>'10. Assumptions'!E63</f>
        <v>750</v>
      </c>
      <c r="E11" s="34">
        <f>'10. Assumptions'!G63</f>
        <v>0.1</v>
      </c>
      <c r="F11" s="142">
        <v>4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5">
        <v>0</v>
      </c>
    </row>
    <row r="12" spans="1:15" x14ac:dyDescent="0.3">
      <c r="A12" s="7" t="str">
        <f>'10. Assumptions'!B64</f>
        <v>stainless steel funnels</v>
      </c>
      <c r="C12" s="7">
        <f>'10. Assumptions'!D64</f>
        <v>2</v>
      </c>
      <c r="D12">
        <f>'10. Assumptions'!E64</f>
        <v>750</v>
      </c>
      <c r="E12" s="34">
        <f>'10. Assumptions'!G64</f>
        <v>0.1</v>
      </c>
      <c r="F12" s="142">
        <v>2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5">
        <v>0</v>
      </c>
    </row>
    <row r="13" spans="1:15" x14ac:dyDescent="0.3">
      <c r="A13" s="7" t="str">
        <f>'10. Assumptions'!B65</f>
        <v>Nitrogen flushing</v>
      </c>
      <c r="C13" s="7">
        <f>'10. Assumptions'!D65</f>
        <v>1</v>
      </c>
      <c r="D13">
        <f>'10. Assumptions'!E65</f>
        <v>1000</v>
      </c>
      <c r="E13" s="34">
        <f>'10. Assumptions'!G65</f>
        <v>0.1</v>
      </c>
      <c r="F13" s="142">
        <v>1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5">
        <v>0</v>
      </c>
    </row>
    <row r="14" spans="1:15" x14ac:dyDescent="0.3">
      <c r="A14" s="7" t="str">
        <f>'10. Assumptions'!B66</f>
        <v>Field Sewing machine</v>
      </c>
      <c r="C14" s="7">
        <f>'10. Assumptions'!D66</f>
        <v>8</v>
      </c>
      <c r="D14">
        <f>'10. Assumptions'!E66</f>
        <v>15000</v>
      </c>
      <c r="E14" s="34">
        <f>'10. Assumptions'!G66</f>
        <v>0.25</v>
      </c>
      <c r="F14" s="142">
        <v>8</v>
      </c>
      <c r="G14" s="142">
        <v>0</v>
      </c>
      <c r="H14" s="142">
        <v>0</v>
      </c>
      <c r="I14" s="142">
        <v>0</v>
      </c>
      <c r="J14" s="142">
        <v>8</v>
      </c>
      <c r="K14" s="142">
        <v>0</v>
      </c>
      <c r="L14" s="142">
        <v>0</v>
      </c>
      <c r="M14" s="142">
        <v>0</v>
      </c>
      <c r="N14" s="142">
        <v>8</v>
      </c>
      <c r="O14" s="145">
        <v>0</v>
      </c>
    </row>
    <row r="15" spans="1:15" x14ac:dyDescent="0.3">
      <c r="A15" s="7" t="str">
        <f>'10. Assumptions'!B67</f>
        <v>Factory sewing machine</v>
      </c>
      <c r="C15" s="7">
        <f>'10. Assumptions'!D67</f>
        <v>2</v>
      </c>
      <c r="D15">
        <f>'10. Assumptions'!E67</f>
        <v>15000</v>
      </c>
      <c r="E15" s="34">
        <f>'10. Assumptions'!G67</f>
        <v>0.25</v>
      </c>
      <c r="F15" s="142">
        <v>2</v>
      </c>
      <c r="G15" s="142">
        <v>0</v>
      </c>
      <c r="H15" s="142">
        <v>0</v>
      </c>
      <c r="I15" s="142">
        <v>0</v>
      </c>
      <c r="J15" s="142">
        <v>2</v>
      </c>
      <c r="K15" s="142">
        <v>0</v>
      </c>
      <c r="L15" s="142">
        <v>0</v>
      </c>
      <c r="M15" s="142">
        <v>0</v>
      </c>
      <c r="N15" s="142">
        <v>2</v>
      </c>
      <c r="O15" s="145">
        <v>0</v>
      </c>
    </row>
    <row r="16" spans="1:15" x14ac:dyDescent="0.3">
      <c r="A16" s="7" t="str">
        <f>'10. Assumptions'!B68</f>
        <v>Electronic moisture detector</v>
      </c>
      <c r="C16" s="7">
        <f>'10. Assumptions'!D68</f>
        <v>5</v>
      </c>
      <c r="D16">
        <f>'10. Assumptions'!E68</f>
        <v>3000</v>
      </c>
      <c r="E16" s="34">
        <f>'10. Assumptions'!G68</f>
        <v>0.1</v>
      </c>
      <c r="F16" s="142">
        <v>5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5">
        <v>0</v>
      </c>
    </row>
    <row r="17" spans="1:15" x14ac:dyDescent="0.3">
      <c r="A17" s="7" t="str">
        <f>'10. Assumptions'!B74</f>
        <v>Motor cycles 125cc Yamaha</v>
      </c>
      <c r="C17" s="7">
        <f>'10. Assumptions'!D74</f>
        <v>2</v>
      </c>
      <c r="D17" s="2">
        <f>'10. Assumptions'!E74</f>
        <v>500000</v>
      </c>
      <c r="E17" s="34">
        <f>'10. Assumptions'!G74</f>
        <v>0.25</v>
      </c>
      <c r="F17" s="142">
        <v>1</v>
      </c>
      <c r="G17" s="142">
        <v>1</v>
      </c>
      <c r="H17" s="142">
        <v>0</v>
      </c>
      <c r="I17" s="142">
        <v>0</v>
      </c>
      <c r="J17" s="142">
        <v>1</v>
      </c>
      <c r="K17" s="142">
        <v>1</v>
      </c>
      <c r="L17" s="142">
        <v>0</v>
      </c>
      <c r="M17" s="142">
        <v>0</v>
      </c>
      <c r="N17" s="142">
        <v>2</v>
      </c>
      <c r="O17" s="145">
        <v>0</v>
      </c>
    </row>
    <row r="18" spans="1:15" x14ac:dyDescent="0.3">
      <c r="A18" s="7" t="str">
        <f>'10. Assumptions'!B75</f>
        <v>High pressure cleaning hoses</v>
      </c>
      <c r="C18" s="7">
        <f>'10. Assumptions'!D75</f>
        <v>2</v>
      </c>
      <c r="D18" s="2">
        <f>'10. Assumptions'!E75</f>
        <v>10000</v>
      </c>
      <c r="E18" s="34">
        <f>'10. Assumptions'!G75</f>
        <v>0.2</v>
      </c>
      <c r="F18" s="142">
        <v>2</v>
      </c>
      <c r="G18" s="142">
        <v>0</v>
      </c>
      <c r="H18" s="142">
        <v>0</v>
      </c>
      <c r="I18" s="142">
        <v>0</v>
      </c>
      <c r="J18" s="142">
        <v>0</v>
      </c>
      <c r="K18" s="142">
        <v>2</v>
      </c>
      <c r="L18" s="142">
        <v>0</v>
      </c>
      <c r="M18" s="142">
        <v>0</v>
      </c>
      <c r="N18" s="142">
        <v>0</v>
      </c>
      <c r="O18" s="145">
        <v>0</v>
      </c>
    </row>
    <row r="19" spans="1:15" x14ac:dyDescent="0.3">
      <c r="A19" s="7" t="str">
        <f>'10. Assumptions'!B76</f>
        <v>6 kg Dry powderFire extinguishers</v>
      </c>
      <c r="C19" s="7">
        <f>'10. Assumptions'!D76</f>
        <v>4</v>
      </c>
      <c r="D19" s="2">
        <f>'10. Assumptions'!E76</f>
        <v>5000</v>
      </c>
      <c r="E19" s="34">
        <f>'10. Assumptions'!G76</f>
        <v>0.1</v>
      </c>
      <c r="F19" s="142">
        <v>4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5">
        <v>0</v>
      </c>
    </row>
    <row r="20" spans="1:15" x14ac:dyDescent="0.3">
      <c r="A20" s="7" t="str">
        <f>'10. Assumptions'!B77</f>
        <v>5 kg CO2 Fire extinguishers</v>
      </c>
      <c r="C20" s="7">
        <f>'10. Assumptions'!D77</f>
        <v>2</v>
      </c>
      <c r="D20" s="2">
        <f>'10. Assumptions'!E77</f>
        <v>15000</v>
      </c>
      <c r="E20" s="34">
        <f>'10. Assumptions'!G77</f>
        <v>0.1</v>
      </c>
      <c r="F20" s="142">
        <v>2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5">
        <v>0</v>
      </c>
    </row>
    <row r="21" spans="1:15" x14ac:dyDescent="0.3">
      <c r="A21" s="7" t="str">
        <f>'10. Assumptions'!B79</f>
        <v>Filing cabinets</v>
      </c>
      <c r="C21" s="7">
        <f>'10. Assumptions'!D79</f>
        <v>2</v>
      </c>
      <c r="D21" s="2">
        <f>'10. Assumptions'!E79</f>
        <v>10000</v>
      </c>
      <c r="E21" s="34">
        <f>'10. Assumptions'!G79</f>
        <v>0.1</v>
      </c>
      <c r="F21" s="142">
        <v>2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5">
        <v>0</v>
      </c>
    </row>
    <row r="22" spans="1:15" x14ac:dyDescent="0.3">
      <c r="A22" s="7" t="str">
        <f>'10. Assumptions'!B80</f>
        <v>Computers</v>
      </c>
      <c r="B22" t="str">
        <f>'10. Assumptions'!C80</f>
        <v>Desk top</v>
      </c>
      <c r="C22" s="7">
        <f>'10. Assumptions'!D80</f>
        <v>1</v>
      </c>
      <c r="D22" s="2">
        <f>'10. Assumptions'!E80</f>
        <v>30000</v>
      </c>
      <c r="E22" s="34">
        <f>'10. Assumptions'!G80</f>
        <v>0.25</v>
      </c>
      <c r="F22" s="142">
        <v>1</v>
      </c>
      <c r="G22" s="142">
        <v>0</v>
      </c>
      <c r="H22" s="142">
        <v>0</v>
      </c>
      <c r="I22" s="142">
        <v>0</v>
      </c>
      <c r="J22" s="142">
        <v>1</v>
      </c>
      <c r="K22" s="142">
        <v>0</v>
      </c>
      <c r="L22" s="142">
        <v>0</v>
      </c>
      <c r="M22" s="142">
        <v>0</v>
      </c>
      <c r="N22" s="142">
        <v>1</v>
      </c>
      <c r="O22" s="145">
        <v>0</v>
      </c>
    </row>
    <row r="23" spans="1:15" x14ac:dyDescent="0.3">
      <c r="A23" s="7"/>
      <c r="B23" t="str">
        <f>'10. Assumptions'!C81</f>
        <v>Lap top</v>
      </c>
      <c r="C23" s="7">
        <f>'10. Assumptions'!D81</f>
        <v>1</v>
      </c>
      <c r="D23" s="2">
        <f>'10. Assumptions'!E81</f>
        <v>30000</v>
      </c>
      <c r="E23" s="34">
        <f>'10. Assumptions'!G81</f>
        <v>0.25</v>
      </c>
      <c r="F23" s="142">
        <v>1</v>
      </c>
      <c r="G23" s="142">
        <v>0</v>
      </c>
      <c r="H23" s="142">
        <v>0</v>
      </c>
      <c r="I23" s="142">
        <v>0</v>
      </c>
      <c r="J23" s="142">
        <v>1</v>
      </c>
      <c r="K23" s="142">
        <v>0</v>
      </c>
      <c r="L23" s="142">
        <v>0</v>
      </c>
      <c r="M23" s="142">
        <v>0</v>
      </c>
      <c r="N23" s="142">
        <v>1</v>
      </c>
      <c r="O23" s="145">
        <v>0</v>
      </c>
    </row>
    <row r="24" spans="1:15" x14ac:dyDescent="0.3">
      <c r="A24" s="26"/>
      <c r="B24" s="14" t="str">
        <f>'10. Assumptions'!C82</f>
        <v>Printer/scanner</v>
      </c>
      <c r="C24" s="26">
        <f>'10. Assumptions'!D82</f>
        <v>1</v>
      </c>
      <c r="D24" s="15">
        <f>'10. Assumptions'!E82</f>
        <v>15000</v>
      </c>
      <c r="E24" s="35">
        <f>'10. Assumptions'!G82</f>
        <v>0.25</v>
      </c>
      <c r="F24" s="146">
        <v>1</v>
      </c>
      <c r="G24" s="146">
        <v>0</v>
      </c>
      <c r="H24" s="146">
        <v>0</v>
      </c>
      <c r="I24" s="146">
        <v>0</v>
      </c>
      <c r="J24" s="146">
        <v>1</v>
      </c>
      <c r="K24" s="146">
        <v>0</v>
      </c>
      <c r="L24" s="146">
        <v>0</v>
      </c>
      <c r="M24" s="146">
        <v>0</v>
      </c>
      <c r="N24" s="146">
        <v>1</v>
      </c>
      <c r="O24" s="147">
        <v>0</v>
      </c>
    </row>
    <row r="27" spans="1:15" x14ac:dyDescent="0.3">
      <c r="A27" s="28"/>
      <c r="B27" s="4"/>
      <c r="C27" s="29" t="s">
        <v>291</v>
      </c>
      <c r="D27" s="29"/>
      <c r="E27" s="30"/>
      <c r="F27" s="29">
        <f>F2</f>
        <v>2019</v>
      </c>
      <c r="G27" s="29">
        <f t="shared" ref="G27:N27" si="0">G2</f>
        <v>2020</v>
      </c>
      <c r="H27" s="29">
        <f t="shared" si="0"/>
        <v>2021</v>
      </c>
      <c r="I27" s="29">
        <f t="shared" si="0"/>
        <v>2022</v>
      </c>
      <c r="J27" s="29">
        <f t="shared" si="0"/>
        <v>2023</v>
      </c>
      <c r="K27" s="29">
        <f t="shared" si="0"/>
        <v>2024</v>
      </c>
      <c r="L27" s="29">
        <f t="shared" si="0"/>
        <v>2025</v>
      </c>
      <c r="M27" s="29">
        <f t="shared" si="0"/>
        <v>2026</v>
      </c>
      <c r="N27" s="29">
        <f t="shared" si="0"/>
        <v>2027</v>
      </c>
      <c r="O27" s="30">
        <v>2028</v>
      </c>
    </row>
    <row r="28" spans="1:15" x14ac:dyDescent="0.3">
      <c r="A28" s="36" t="str">
        <f>A3</f>
        <v>Item</v>
      </c>
      <c r="B28" s="14"/>
      <c r="C28" s="14"/>
      <c r="D28" s="14"/>
      <c r="E28" s="32"/>
      <c r="F28" s="14"/>
      <c r="G28" s="14"/>
      <c r="H28" s="14"/>
      <c r="I28" s="14"/>
      <c r="J28" s="14"/>
      <c r="K28" s="14"/>
      <c r="L28" s="14"/>
      <c r="M28" s="14"/>
      <c r="N28" s="14"/>
      <c r="O28" s="32"/>
    </row>
    <row r="29" spans="1:15" x14ac:dyDescent="0.3">
      <c r="A29" s="7" t="str">
        <f>A4</f>
        <v>Depulping machine</v>
      </c>
      <c r="E29" s="9"/>
      <c r="F29" s="2">
        <f>F4*$D$4</f>
        <v>300000</v>
      </c>
      <c r="G29" s="2">
        <f t="shared" ref="G29:O29" si="1">G4*$D$4</f>
        <v>0</v>
      </c>
      <c r="H29" s="2">
        <f t="shared" si="1"/>
        <v>300000</v>
      </c>
      <c r="I29" s="2">
        <f t="shared" si="1"/>
        <v>0</v>
      </c>
      <c r="J29" s="2">
        <f t="shared" si="1"/>
        <v>0</v>
      </c>
      <c r="K29" s="2">
        <f t="shared" si="1"/>
        <v>300000</v>
      </c>
      <c r="L29" s="2">
        <f t="shared" si="1"/>
        <v>0</v>
      </c>
      <c r="M29" s="2">
        <f t="shared" si="1"/>
        <v>300000</v>
      </c>
      <c r="N29" s="2">
        <f t="shared" si="1"/>
        <v>300000</v>
      </c>
      <c r="O29" s="12">
        <f t="shared" si="1"/>
        <v>0</v>
      </c>
    </row>
    <row r="30" spans="1:15" x14ac:dyDescent="0.3">
      <c r="A30" s="7" t="str">
        <f t="shared" ref="A30:A45" si="2">A5</f>
        <v>125 micron stainless steel sieves</v>
      </c>
      <c r="E30" s="9"/>
      <c r="F30" s="2">
        <f>F5*$D$5</f>
        <v>10000</v>
      </c>
      <c r="G30" s="2">
        <f t="shared" ref="G30:O30" si="3">G5*$D$5</f>
        <v>0</v>
      </c>
      <c r="H30" s="2">
        <f t="shared" si="3"/>
        <v>0</v>
      </c>
      <c r="I30" s="2">
        <f t="shared" si="3"/>
        <v>0</v>
      </c>
      <c r="J30" s="2">
        <f t="shared" si="3"/>
        <v>0</v>
      </c>
      <c r="K30" s="2">
        <f t="shared" si="3"/>
        <v>0</v>
      </c>
      <c r="L30" s="2">
        <f t="shared" si="3"/>
        <v>0</v>
      </c>
      <c r="M30" s="2">
        <f t="shared" si="3"/>
        <v>0</v>
      </c>
      <c r="N30" s="2">
        <f t="shared" si="3"/>
        <v>0</v>
      </c>
      <c r="O30" s="12">
        <f t="shared" si="3"/>
        <v>0</v>
      </c>
    </row>
    <row r="31" spans="1:15" x14ac:dyDescent="0.3">
      <c r="A31" s="7" t="str">
        <f t="shared" si="2"/>
        <v>Oil press</v>
      </c>
      <c r="E31" s="9"/>
      <c r="F31" s="2">
        <f>F6*$D$6</f>
        <v>300000</v>
      </c>
      <c r="G31" s="2">
        <f t="shared" ref="G31:O31" si="4">G6*$D$6</f>
        <v>0</v>
      </c>
      <c r="H31" s="2">
        <f t="shared" si="4"/>
        <v>0</v>
      </c>
      <c r="I31" s="2">
        <f t="shared" si="4"/>
        <v>0</v>
      </c>
      <c r="J31" s="2">
        <f t="shared" si="4"/>
        <v>0</v>
      </c>
      <c r="K31" s="2">
        <f t="shared" si="4"/>
        <v>300000</v>
      </c>
      <c r="L31" s="2">
        <f t="shared" si="4"/>
        <v>0</v>
      </c>
      <c r="M31" s="2">
        <f t="shared" si="4"/>
        <v>0</v>
      </c>
      <c r="N31" s="2">
        <f t="shared" si="4"/>
        <v>0</v>
      </c>
      <c r="O31" s="12">
        <f t="shared" si="4"/>
        <v>0</v>
      </c>
    </row>
    <row r="32" spans="1:15" x14ac:dyDescent="0.3">
      <c r="A32" s="7" t="str">
        <f t="shared" si="2"/>
        <v>Oil Drums 200kg Settling</v>
      </c>
      <c r="E32" s="9"/>
      <c r="F32" s="2">
        <f>D7*C7</f>
        <v>10000</v>
      </c>
      <c r="G32" s="2">
        <f>G7*$D$7</f>
        <v>0</v>
      </c>
      <c r="H32" s="2">
        <f t="shared" ref="H32:O32" si="5">H7*$D$7</f>
        <v>0</v>
      </c>
      <c r="I32" s="2">
        <f t="shared" si="5"/>
        <v>0</v>
      </c>
      <c r="J32" s="2">
        <f t="shared" si="5"/>
        <v>0</v>
      </c>
      <c r="K32" s="2">
        <f t="shared" si="5"/>
        <v>0</v>
      </c>
      <c r="L32" s="2">
        <f t="shared" si="5"/>
        <v>0</v>
      </c>
      <c r="M32" s="2">
        <f t="shared" si="5"/>
        <v>0</v>
      </c>
      <c r="N32" s="2">
        <f t="shared" si="5"/>
        <v>0</v>
      </c>
      <c r="O32" s="12">
        <f t="shared" si="5"/>
        <v>0</v>
      </c>
    </row>
    <row r="33" spans="1:15" x14ac:dyDescent="0.3">
      <c r="A33" s="7" t="str">
        <f t="shared" si="2"/>
        <v>Oil Drums 200kg Storage</v>
      </c>
      <c r="E33" s="9"/>
      <c r="F33" s="2">
        <f>D8*C8</f>
        <v>10000</v>
      </c>
      <c r="G33" s="2">
        <f>G8*$D$8</f>
        <v>0</v>
      </c>
      <c r="H33" s="2">
        <f t="shared" ref="H33:O33" si="6">H8*$D$8</f>
        <v>0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2">
        <f t="shared" si="6"/>
        <v>0</v>
      </c>
      <c r="N33" s="2">
        <f t="shared" si="6"/>
        <v>0</v>
      </c>
      <c r="O33" s="12">
        <f t="shared" si="6"/>
        <v>0</v>
      </c>
    </row>
    <row r="34" spans="1:15" x14ac:dyDescent="0.3">
      <c r="A34" s="7" t="str">
        <f t="shared" si="2"/>
        <v>Electronic scales</v>
      </c>
      <c r="E34" s="9"/>
      <c r="F34" s="2">
        <f>F9*$D$9</f>
        <v>120000</v>
      </c>
      <c r="G34" s="2">
        <f t="shared" ref="G34:O34" si="7">G9*$D$9</f>
        <v>0</v>
      </c>
      <c r="H34" s="2">
        <f t="shared" si="7"/>
        <v>0</v>
      </c>
      <c r="I34" s="2">
        <f t="shared" si="7"/>
        <v>0</v>
      </c>
      <c r="J34" s="2">
        <f t="shared" si="7"/>
        <v>0</v>
      </c>
      <c r="K34" s="2">
        <f t="shared" si="7"/>
        <v>120000</v>
      </c>
      <c r="L34" s="2">
        <f t="shared" si="7"/>
        <v>0</v>
      </c>
      <c r="M34" s="2">
        <f t="shared" si="7"/>
        <v>0</v>
      </c>
      <c r="N34" s="2">
        <f t="shared" si="7"/>
        <v>0</v>
      </c>
      <c r="O34" s="12">
        <f t="shared" si="7"/>
        <v>0</v>
      </c>
    </row>
    <row r="35" spans="1:15" x14ac:dyDescent="0.3">
      <c r="A35" s="7" t="str">
        <f t="shared" si="2"/>
        <v>Trolleys</v>
      </c>
      <c r="E35" s="9"/>
      <c r="F35" s="2">
        <f>F10*$D$10</f>
        <v>4000</v>
      </c>
      <c r="G35" s="2">
        <f t="shared" ref="G35:O35" si="8">G10*$D$10</f>
        <v>0</v>
      </c>
      <c r="H35" s="2">
        <f t="shared" si="8"/>
        <v>0</v>
      </c>
      <c r="I35" s="2">
        <f t="shared" si="8"/>
        <v>0</v>
      </c>
      <c r="J35" s="2">
        <f t="shared" si="8"/>
        <v>0</v>
      </c>
      <c r="K35" s="2">
        <f t="shared" si="8"/>
        <v>0</v>
      </c>
      <c r="L35" s="2">
        <f t="shared" si="8"/>
        <v>0</v>
      </c>
      <c r="M35" s="2">
        <f t="shared" si="8"/>
        <v>0</v>
      </c>
      <c r="N35" s="2">
        <f t="shared" si="8"/>
        <v>0</v>
      </c>
      <c r="O35" s="12">
        <f t="shared" si="8"/>
        <v>0</v>
      </c>
    </row>
    <row r="36" spans="1:15" x14ac:dyDescent="0.3">
      <c r="A36" s="7" t="str">
        <f t="shared" si="2"/>
        <v>Oil decanting</v>
      </c>
      <c r="E36" s="9"/>
      <c r="F36" s="2">
        <f>F11*$D$11</f>
        <v>3000</v>
      </c>
      <c r="G36" s="2">
        <f t="shared" ref="G36:O36" si="9">G11*$D$11</f>
        <v>0</v>
      </c>
      <c r="H36" s="2">
        <f t="shared" si="9"/>
        <v>0</v>
      </c>
      <c r="I36" s="2">
        <f t="shared" si="9"/>
        <v>0</v>
      </c>
      <c r="J36" s="2">
        <f t="shared" si="9"/>
        <v>0</v>
      </c>
      <c r="K36" s="2">
        <f t="shared" si="9"/>
        <v>0</v>
      </c>
      <c r="L36" s="2">
        <f t="shared" si="9"/>
        <v>0</v>
      </c>
      <c r="M36" s="2">
        <f t="shared" si="9"/>
        <v>0</v>
      </c>
      <c r="N36" s="2">
        <f t="shared" si="9"/>
        <v>0</v>
      </c>
      <c r="O36" s="12">
        <f t="shared" si="9"/>
        <v>0</v>
      </c>
    </row>
    <row r="37" spans="1:15" x14ac:dyDescent="0.3">
      <c r="A37" s="7" t="str">
        <f t="shared" si="2"/>
        <v>stainless steel funnels</v>
      </c>
      <c r="E37" s="9"/>
      <c r="F37" s="2">
        <f>F12*$D$12</f>
        <v>1500</v>
      </c>
      <c r="G37" s="2">
        <f t="shared" ref="G37:O37" si="10">G12*$D$12</f>
        <v>0</v>
      </c>
      <c r="H37" s="2">
        <f t="shared" si="10"/>
        <v>0</v>
      </c>
      <c r="I37" s="2">
        <f t="shared" si="10"/>
        <v>0</v>
      </c>
      <c r="J37" s="2">
        <f t="shared" si="10"/>
        <v>0</v>
      </c>
      <c r="K37" s="2">
        <f t="shared" si="10"/>
        <v>0</v>
      </c>
      <c r="L37" s="2">
        <f t="shared" si="10"/>
        <v>0</v>
      </c>
      <c r="M37" s="2">
        <f t="shared" si="10"/>
        <v>0</v>
      </c>
      <c r="N37" s="2">
        <f t="shared" si="10"/>
        <v>0</v>
      </c>
      <c r="O37" s="12">
        <f t="shared" si="10"/>
        <v>0</v>
      </c>
    </row>
    <row r="38" spans="1:15" x14ac:dyDescent="0.3">
      <c r="A38" s="7" t="str">
        <f t="shared" si="2"/>
        <v>Nitrogen flushing</v>
      </c>
      <c r="E38" s="9"/>
      <c r="F38" s="2">
        <f>F13*$D$13</f>
        <v>1000</v>
      </c>
      <c r="G38" s="2">
        <f t="shared" ref="G38:O38" si="11">G13*$D$13</f>
        <v>0</v>
      </c>
      <c r="H38" s="2">
        <f t="shared" si="11"/>
        <v>0</v>
      </c>
      <c r="I38" s="2">
        <f t="shared" si="11"/>
        <v>0</v>
      </c>
      <c r="J38" s="2">
        <f t="shared" si="11"/>
        <v>0</v>
      </c>
      <c r="K38" s="2">
        <f t="shared" si="11"/>
        <v>0</v>
      </c>
      <c r="L38" s="2">
        <f t="shared" si="11"/>
        <v>0</v>
      </c>
      <c r="M38" s="2">
        <f t="shared" si="11"/>
        <v>0</v>
      </c>
      <c r="N38" s="2">
        <f t="shared" si="11"/>
        <v>0</v>
      </c>
      <c r="O38" s="12">
        <f t="shared" si="11"/>
        <v>0</v>
      </c>
    </row>
    <row r="39" spans="1:15" x14ac:dyDescent="0.3">
      <c r="A39" s="7" t="str">
        <f t="shared" si="2"/>
        <v>Field Sewing machine</v>
      </c>
      <c r="E39" s="9"/>
      <c r="F39" s="2">
        <f>F14*$D$14</f>
        <v>120000</v>
      </c>
      <c r="G39" s="2">
        <f t="shared" ref="G39:O39" si="12">G14*$D$14</f>
        <v>0</v>
      </c>
      <c r="H39" s="2">
        <f t="shared" si="12"/>
        <v>0</v>
      </c>
      <c r="I39" s="2">
        <f t="shared" si="12"/>
        <v>0</v>
      </c>
      <c r="J39" s="2">
        <f t="shared" si="12"/>
        <v>120000</v>
      </c>
      <c r="K39" s="2">
        <f t="shared" si="12"/>
        <v>0</v>
      </c>
      <c r="L39" s="2">
        <f t="shared" si="12"/>
        <v>0</v>
      </c>
      <c r="M39" s="2">
        <f t="shared" si="12"/>
        <v>0</v>
      </c>
      <c r="N39" s="2">
        <f t="shared" si="12"/>
        <v>120000</v>
      </c>
      <c r="O39" s="12">
        <f t="shared" si="12"/>
        <v>0</v>
      </c>
    </row>
    <row r="40" spans="1:15" x14ac:dyDescent="0.3">
      <c r="A40" s="7" t="str">
        <f t="shared" si="2"/>
        <v>Factory sewing machine</v>
      </c>
      <c r="E40" s="9"/>
      <c r="F40" s="2">
        <f>F15*$D$15</f>
        <v>30000</v>
      </c>
      <c r="G40" s="2">
        <f t="shared" ref="G40:O40" si="13">G15*$D$15</f>
        <v>0</v>
      </c>
      <c r="H40" s="2">
        <f t="shared" si="13"/>
        <v>0</v>
      </c>
      <c r="I40" s="2">
        <f t="shared" si="13"/>
        <v>0</v>
      </c>
      <c r="J40" s="2">
        <f t="shared" si="13"/>
        <v>30000</v>
      </c>
      <c r="K40" s="2">
        <f t="shared" si="13"/>
        <v>0</v>
      </c>
      <c r="L40" s="2">
        <f t="shared" si="13"/>
        <v>0</v>
      </c>
      <c r="M40" s="2">
        <f t="shared" si="13"/>
        <v>0</v>
      </c>
      <c r="N40" s="2">
        <f t="shared" si="13"/>
        <v>30000</v>
      </c>
      <c r="O40" s="12">
        <f t="shared" si="13"/>
        <v>0</v>
      </c>
    </row>
    <row r="41" spans="1:15" x14ac:dyDescent="0.3">
      <c r="A41" s="7" t="str">
        <f t="shared" si="2"/>
        <v>Electronic moisture detector</v>
      </c>
      <c r="E41" s="9"/>
      <c r="F41" s="2">
        <f>F16*$D$16</f>
        <v>15000</v>
      </c>
      <c r="G41" s="2">
        <f t="shared" ref="G41:O41" si="14">G16*$D$16</f>
        <v>0</v>
      </c>
      <c r="H41" s="2">
        <f t="shared" si="14"/>
        <v>0</v>
      </c>
      <c r="I41" s="2">
        <f t="shared" si="14"/>
        <v>0</v>
      </c>
      <c r="J41" s="2">
        <f t="shared" si="14"/>
        <v>0</v>
      </c>
      <c r="K41" s="2">
        <f t="shared" si="14"/>
        <v>0</v>
      </c>
      <c r="L41" s="2">
        <f t="shared" si="14"/>
        <v>0</v>
      </c>
      <c r="M41" s="2">
        <f t="shared" si="14"/>
        <v>0</v>
      </c>
      <c r="N41" s="2">
        <f t="shared" si="14"/>
        <v>0</v>
      </c>
      <c r="O41" s="12">
        <f t="shared" si="14"/>
        <v>0</v>
      </c>
    </row>
    <row r="42" spans="1:15" x14ac:dyDescent="0.3">
      <c r="A42" s="7" t="str">
        <f t="shared" si="2"/>
        <v>Motor cycles 125cc Yamaha</v>
      </c>
      <c r="E42" s="9"/>
      <c r="F42" s="2">
        <f>F17*$D$17</f>
        <v>500000</v>
      </c>
      <c r="G42" s="2">
        <f t="shared" ref="G42:O42" si="15">G17*$D$17</f>
        <v>500000</v>
      </c>
      <c r="H42" s="2">
        <f t="shared" si="15"/>
        <v>0</v>
      </c>
      <c r="I42" s="2">
        <f t="shared" si="15"/>
        <v>0</v>
      </c>
      <c r="J42" s="2">
        <f t="shared" si="15"/>
        <v>500000</v>
      </c>
      <c r="K42" s="2">
        <f t="shared" si="15"/>
        <v>500000</v>
      </c>
      <c r="L42" s="2">
        <f t="shared" si="15"/>
        <v>0</v>
      </c>
      <c r="M42" s="2">
        <f t="shared" si="15"/>
        <v>0</v>
      </c>
      <c r="N42" s="2">
        <f t="shared" si="15"/>
        <v>1000000</v>
      </c>
      <c r="O42" s="12">
        <f t="shared" si="15"/>
        <v>0</v>
      </c>
    </row>
    <row r="43" spans="1:15" x14ac:dyDescent="0.3">
      <c r="A43" s="7" t="str">
        <f t="shared" si="2"/>
        <v>High pressure cleaning hoses</v>
      </c>
      <c r="E43" s="9"/>
      <c r="F43" s="2">
        <f>F18*$D$18</f>
        <v>20000</v>
      </c>
      <c r="G43" s="2">
        <f t="shared" ref="G43:O43" si="16">G18*$D$18</f>
        <v>0</v>
      </c>
      <c r="H43" s="2">
        <f t="shared" si="16"/>
        <v>0</v>
      </c>
      <c r="I43" s="2">
        <f t="shared" si="16"/>
        <v>0</v>
      </c>
      <c r="J43" s="2">
        <f t="shared" si="16"/>
        <v>0</v>
      </c>
      <c r="K43" s="2">
        <f t="shared" si="16"/>
        <v>20000</v>
      </c>
      <c r="L43" s="2">
        <f t="shared" si="16"/>
        <v>0</v>
      </c>
      <c r="M43" s="2">
        <f t="shared" si="16"/>
        <v>0</v>
      </c>
      <c r="N43" s="2">
        <f t="shared" si="16"/>
        <v>0</v>
      </c>
      <c r="O43" s="12">
        <f t="shared" si="16"/>
        <v>0</v>
      </c>
    </row>
    <row r="44" spans="1:15" x14ac:dyDescent="0.3">
      <c r="A44" s="7" t="str">
        <f t="shared" si="2"/>
        <v>6 kg Dry powderFire extinguishers</v>
      </c>
      <c r="E44" s="9"/>
      <c r="F44" s="2">
        <f>F19*$D$19</f>
        <v>20000</v>
      </c>
      <c r="G44" s="2">
        <f t="shared" ref="G44:O44" si="17">G19*$D$19</f>
        <v>0</v>
      </c>
      <c r="H44" s="2">
        <f t="shared" si="17"/>
        <v>0</v>
      </c>
      <c r="I44" s="2">
        <f t="shared" si="17"/>
        <v>0</v>
      </c>
      <c r="J44" s="2">
        <f t="shared" si="17"/>
        <v>0</v>
      </c>
      <c r="K44" s="2">
        <f t="shared" si="17"/>
        <v>0</v>
      </c>
      <c r="L44" s="2">
        <f t="shared" si="17"/>
        <v>0</v>
      </c>
      <c r="M44" s="2">
        <f t="shared" si="17"/>
        <v>0</v>
      </c>
      <c r="N44" s="2">
        <f t="shared" si="17"/>
        <v>0</v>
      </c>
      <c r="O44" s="12">
        <f t="shared" si="17"/>
        <v>0</v>
      </c>
    </row>
    <row r="45" spans="1:15" x14ac:dyDescent="0.3">
      <c r="A45" s="7" t="str">
        <f t="shared" si="2"/>
        <v>5 kg CO2 Fire extinguishers</v>
      </c>
      <c r="E45" s="9"/>
      <c r="F45" s="2">
        <f>F20*$D$20</f>
        <v>30000</v>
      </c>
      <c r="G45" s="2">
        <f t="shared" ref="G45:O45" si="18">G20*$D$20</f>
        <v>0</v>
      </c>
      <c r="H45" s="2">
        <f t="shared" si="18"/>
        <v>0</v>
      </c>
      <c r="I45" s="2">
        <f t="shared" si="18"/>
        <v>0</v>
      </c>
      <c r="J45" s="2">
        <f t="shared" si="18"/>
        <v>0</v>
      </c>
      <c r="K45" s="2">
        <f t="shared" si="18"/>
        <v>0</v>
      </c>
      <c r="L45" s="2">
        <f t="shared" si="18"/>
        <v>0</v>
      </c>
      <c r="M45" s="2">
        <f t="shared" si="18"/>
        <v>0</v>
      </c>
      <c r="N45" s="2">
        <f t="shared" si="18"/>
        <v>0</v>
      </c>
      <c r="O45" s="12">
        <f t="shared" si="18"/>
        <v>0</v>
      </c>
    </row>
    <row r="46" spans="1:15" x14ac:dyDescent="0.3">
      <c r="A46" s="7" t="str">
        <f t="shared" ref="A46:B49" si="19">A21</f>
        <v>Filing cabinets</v>
      </c>
      <c r="E46" s="9"/>
      <c r="F46" s="2">
        <f>F21*$D$21</f>
        <v>20000</v>
      </c>
      <c r="G46" s="2">
        <f t="shared" ref="G46:O46" si="20">G21*$D$21</f>
        <v>0</v>
      </c>
      <c r="H46" s="2">
        <f t="shared" si="20"/>
        <v>0</v>
      </c>
      <c r="I46" s="2">
        <f t="shared" si="20"/>
        <v>0</v>
      </c>
      <c r="J46" s="2">
        <f t="shared" si="20"/>
        <v>0</v>
      </c>
      <c r="K46" s="2">
        <f t="shared" si="20"/>
        <v>0</v>
      </c>
      <c r="L46" s="2">
        <f t="shared" si="20"/>
        <v>0</v>
      </c>
      <c r="M46" s="2">
        <f t="shared" si="20"/>
        <v>0</v>
      </c>
      <c r="N46" s="2">
        <f t="shared" si="20"/>
        <v>0</v>
      </c>
      <c r="O46" s="12">
        <f t="shared" si="20"/>
        <v>0</v>
      </c>
    </row>
    <row r="47" spans="1:15" x14ac:dyDescent="0.3">
      <c r="A47" s="7" t="str">
        <f t="shared" si="19"/>
        <v>Computers</v>
      </c>
      <c r="B47" t="str">
        <f>B22</f>
        <v>Desk top</v>
      </c>
      <c r="E47" s="9"/>
      <c r="F47" s="2">
        <f>F22*$D$22</f>
        <v>30000</v>
      </c>
      <c r="G47" s="2">
        <f t="shared" ref="G47:O47" si="21">G22*$D$22</f>
        <v>0</v>
      </c>
      <c r="H47" s="2">
        <f t="shared" si="21"/>
        <v>0</v>
      </c>
      <c r="I47" s="2">
        <f t="shared" si="21"/>
        <v>0</v>
      </c>
      <c r="J47" s="2">
        <f t="shared" si="21"/>
        <v>30000</v>
      </c>
      <c r="K47" s="2">
        <f t="shared" si="21"/>
        <v>0</v>
      </c>
      <c r="L47" s="2">
        <f t="shared" si="21"/>
        <v>0</v>
      </c>
      <c r="M47" s="2">
        <f t="shared" si="21"/>
        <v>0</v>
      </c>
      <c r="N47" s="2">
        <f t="shared" si="21"/>
        <v>30000</v>
      </c>
      <c r="O47" s="12">
        <f t="shared" si="21"/>
        <v>0</v>
      </c>
    </row>
    <row r="48" spans="1:15" x14ac:dyDescent="0.3">
      <c r="A48" s="7" t="s">
        <v>173</v>
      </c>
      <c r="B48" t="str">
        <f t="shared" si="19"/>
        <v>Lap top</v>
      </c>
      <c r="E48" s="9"/>
      <c r="F48" s="2">
        <f>F23*$D$23</f>
        <v>30000</v>
      </c>
      <c r="G48" s="2">
        <f t="shared" ref="G48:O48" si="22">G23*$D$23</f>
        <v>0</v>
      </c>
      <c r="H48" s="2">
        <f t="shared" si="22"/>
        <v>0</v>
      </c>
      <c r="I48" s="2">
        <f t="shared" si="22"/>
        <v>0</v>
      </c>
      <c r="J48" s="2">
        <f t="shared" si="22"/>
        <v>30000</v>
      </c>
      <c r="K48" s="2">
        <f t="shared" si="22"/>
        <v>0</v>
      </c>
      <c r="L48" s="2">
        <f t="shared" si="22"/>
        <v>0</v>
      </c>
      <c r="M48" s="2">
        <f t="shared" si="22"/>
        <v>0</v>
      </c>
      <c r="N48" s="2">
        <f t="shared" si="22"/>
        <v>30000</v>
      </c>
      <c r="O48" s="12">
        <f t="shared" si="22"/>
        <v>0</v>
      </c>
    </row>
    <row r="49" spans="1:15" x14ac:dyDescent="0.3">
      <c r="A49" s="7" t="s">
        <v>173</v>
      </c>
      <c r="B49" t="str">
        <f t="shared" si="19"/>
        <v>Printer/scanner</v>
      </c>
      <c r="E49" s="9"/>
      <c r="F49" s="2">
        <f>F24*$D$24</f>
        <v>15000</v>
      </c>
      <c r="G49" s="2">
        <f t="shared" ref="G49:O49" si="23">G24*$D$24</f>
        <v>0</v>
      </c>
      <c r="H49" s="2">
        <f t="shared" si="23"/>
        <v>0</v>
      </c>
      <c r="I49" s="2">
        <f t="shared" si="23"/>
        <v>0</v>
      </c>
      <c r="J49" s="2">
        <f t="shared" si="23"/>
        <v>15000</v>
      </c>
      <c r="K49" s="2">
        <f t="shared" si="23"/>
        <v>0</v>
      </c>
      <c r="L49" s="2">
        <f t="shared" si="23"/>
        <v>0</v>
      </c>
      <c r="M49" s="2">
        <f t="shared" si="23"/>
        <v>0</v>
      </c>
      <c r="N49" s="2">
        <f t="shared" si="23"/>
        <v>15000</v>
      </c>
      <c r="O49" s="12">
        <f t="shared" si="23"/>
        <v>0</v>
      </c>
    </row>
    <row r="50" spans="1:15" x14ac:dyDescent="0.3">
      <c r="A50" s="7"/>
      <c r="E50" s="9"/>
      <c r="F50" s="2" t="s">
        <v>173</v>
      </c>
      <c r="G50" s="2"/>
      <c r="H50" s="2"/>
      <c r="I50" s="2"/>
      <c r="J50" s="2"/>
      <c r="K50" s="2"/>
      <c r="L50" s="2"/>
      <c r="M50" s="2"/>
      <c r="N50" s="2"/>
      <c r="O50" s="12"/>
    </row>
    <row r="51" spans="1:15" x14ac:dyDescent="0.3">
      <c r="A51" s="42" t="s">
        <v>294</v>
      </c>
      <c r="B51" s="43"/>
      <c r="C51" s="43"/>
      <c r="D51" s="43"/>
      <c r="E51" s="46"/>
      <c r="F51" s="44">
        <f>SUM(F29:F49)</f>
        <v>1589500</v>
      </c>
      <c r="G51" s="44">
        <f t="shared" ref="G51:O51" si="24">SUM(G29:G49)</f>
        <v>500000</v>
      </c>
      <c r="H51" s="44">
        <f t="shared" si="24"/>
        <v>300000</v>
      </c>
      <c r="I51" s="44">
        <f t="shared" si="24"/>
        <v>0</v>
      </c>
      <c r="J51" s="44">
        <f t="shared" si="24"/>
        <v>725000</v>
      </c>
      <c r="K51" s="44">
        <f t="shared" si="24"/>
        <v>1240000</v>
      </c>
      <c r="L51" s="44">
        <f t="shared" si="24"/>
        <v>0</v>
      </c>
      <c r="M51" s="44">
        <f t="shared" si="24"/>
        <v>300000</v>
      </c>
      <c r="N51" s="44">
        <f t="shared" si="24"/>
        <v>1525000</v>
      </c>
      <c r="O51" s="45">
        <f t="shared" si="24"/>
        <v>0</v>
      </c>
    </row>
    <row r="52" spans="1:15" x14ac:dyDescent="0.3">
      <c r="A52" s="27" t="s">
        <v>460</v>
      </c>
      <c r="B52" s="27"/>
      <c r="C52" s="27"/>
      <c r="D52" s="27"/>
      <c r="E52" s="27"/>
      <c r="F52" s="41">
        <f>F51</f>
        <v>1589500</v>
      </c>
      <c r="G52" s="41">
        <f>F52+G51</f>
        <v>2089500</v>
      </c>
      <c r="H52" s="41">
        <f t="shared" ref="H52:O52" si="25">G52+H51</f>
        <v>2389500</v>
      </c>
      <c r="I52" s="41">
        <f t="shared" si="25"/>
        <v>2389500</v>
      </c>
      <c r="J52" s="41">
        <f t="shared" si="25"/>
        <v>3114500</v>
      </c>
      <c r="K52" s="41">
        <f t="shared" si="25"/>
        <v>4354500</v>
      </c>
      <c r="L52" s="41">
        <f t="shared" si="25"/>
        <v>4354500</v>
      </c>
      <c r="M52" s="41">
        <f t="shared" si="25"/>
        <v>4654500</v>
      </c>
      <c r="N52" s="41">
        <f t="shared" si="25"/>
        <v>6179500</v>
      </c>
      <c r="O52" s="41">
        <f t="shared" si="25"/>
        <v>6179500</v>
      </c>
    </row>
    <row r="53" spans="1:15" x14ac:dyDescent="0.3"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3">
      <c r="A54" s="28"/>
      <c r="B54" s="4"/>
      <c r="C54" s="29" t="s">
        <v>292</v>
      </c>
      <c r="D54" s="29"/>
      <c r="E54" s="30"/>
      <c r="F54" s="29">
        <f>F27</f>
        <v>2019</v>
      </c>
      <c r="G54" s="29">
        <f t="shared" ref="G54:N54" si="26">G27</f>
        <v>2020</v>
      </c>
      <c r="H54" s="29">
        <f t="shared" si="26"/>
        <v>2021</v>
      </c>
      <c r="I54" s="29">
        <f t="shared" si="26"/>
        <v>2022</v>
      </c>
      <c r="J54" s="29">
        <f t="shared" si="26"/>
        <v>2023</v>
      </c>
      <c r="K54" s="29">
        <f t="shared" si="26"/>
        <v>2024</v>
      </c>
      <c r="L54" s="29">
        <f t="shared" si="26"/>
        <v>2025</v>
      </c>
      <c r="M54" s="29">
        <f t="shared" si="26"/>
        <v>2026</v>
      </c>
      <c r="N54" s="29">
        <f t="shared" si="26"/>
        <v>2027</v>
      </c>
      <c r="O54" s="30">
        <v>2028</v>
      </c>
    </row>
    <row r="55" spans="1:15" x14ac:dyDescent="0.3">
      <c r="A55" s="36" t="str">
        <f t="shared" ref="A55:A61" si="27">A28</f>
        <v>Item</v>
      </c>
      <c r="B55" s="14"/>
      <c r="C55" s="14"/>
      <c r="D55" s="14"/>
      <c r="E55" s="32"/>
      <c r="F55" s="15"/>
      <c r="G55" s="15"/>
      <c r="H55" s="15"/>
      <c r="I55" s="15"/>
      <c r="J55" s="15"/>
      <c r="K55" s="15"/>
      <c r="L55" s="15"/>
      <c r="M55" s="15"/>
      <c r="N55" s="15"/>
      <c r="O55" s="16"/>
    </row>
    <row r="56" spans="1:15" x14ac:dyDescent="0.3">
      <c r="A56" s="7" t="str">
        <f t="shared" si="27"/>
        <v>Depulping machine</v>
      </c>
      <c r="E56" s="9"/>
      <c r="F56" s="2">
        <f>D4*F4*E4</f>
        <v>60000</v>
      </c>
      <c r="G56" s="2">
        <f>D4*E4*(F4+G4)</f>
        <v>60000</v>
      </c>
      <c r="H56" s="2">
        <f>D4*E4*(F4+G4+H4)</f>
        <v>120000</v>
      </c>
      <c r="I56" s="2">
        <f>D4*E4*(F4+G4+H4+I4)</f>
        <v>120000</v>
      </c>
      <c r="J56" s="2">
        <f>D4*E4*(F4+G4+H4+I4)</f>
        <v>120000</v>
      </c>
      <c r="K56" s="2">
        <f>D4*E4*(G4+H4+I4+J4+K4)</f>
        <v>120000</v>
      </c>
      <c r="L56" s="2">
        <f>D4*E4*(G4+H4+I4+J4+K4+L4)</f>
        <v>120000</v>
      </c>
      <c r="M56" s="2">
        <f>D4*E4*(H4+I4+K4+J4+L4+M4)</f>
        <v>180000</v>
      </c>
      <c r="N56" s="2">
        <f>D4*E4*(I4+J4+K4+L4+M4+N4)</f>
        <v>180000</v>
      </c>
      <c r="O56" s="12">
        <f>D4*E4*(I4+J4+K4+L4+M4+N4+O4)</f>
        <v>180000</v>
      </c>
    </row>
    <row r="57" spans="1:15" x14ac:dyDescent="0.3">
      <c r="A57" s="7" t="str">
        <f t="shared" si="27"/>
        <v>125 micron stainless steel sieves</v>
      </c>
      <c r="E57" s="9"/>
      <c r="F57" s="2">
        <f>D5*F5*E5</f>
        <v>1000</v>
      </c>
      <c r="G57" s="2">
        <f>D5*E5*(F5+G5)</f>
        <v>1000</v>
      </c>
      <c r="H57" s="2">
        <f>D5*E5*(F5+G5+H5)</f>
        <v>1000</v>
      </c>
      <c r="I57" s="2">
        <f>D5*E5*(F5+G5+H5+I5)</f>
        <v>1000</v>
      </c>
      <c r="J57" s="2">
        <f>D5*E5*(F5+G5+H5+I5)</f>
        <v>1000</v>
      </c>
      <c r="K57" s="2">
        <f>D5*E5*(F5+G5+H5+I5+J5+K5)</f>
        <v>1000</v>
      </c>
      <c r="L57" s="2">
        <f>D5*E5*(F5+G5+H5+I5+J5+K5+L5)</f>
        <v>1000</v>
      </c>
      <c r="M57" s="2">
        <f>D5*E5*(F5+G5+H5+I5+K5+J5+L5+M5)</f>
        <v>1000</v>
      </c>
      <c r="N57" s="2">
        <f>D5*E5*(F5+G5+H5+I5+J5+K5+L5+M5+N5)</f>
        <v>1000</v>
      </c>
      <c r="O57" s="12">
        <f>D5*E5*(F5+G5+H5+I5+J5+K5+L5+M5+N5+O5)</f>
        <v>1000</v>
      </c>
    </row>
    <row r="58" spans="1:15" x14ac:dyDescent="0.3">
      <c r="A58" s="7" t="str">
        <f t="shared" si="27"/>
        <v>Oil press</v>
      </c>
      <c r="E58" s="9"/>
      <c r="F58" s="2">
        <f>D6*F6*E6</f>
        <v>60000</v>
      </c>
      <c r="G58" s="2">
        <f>D6*E6*(F6+G6)</f>
        <v>60000</v>
      </c>
      <c r="H58" s="2">
        <f>D6*E6*(F6+G6+H6)</f>
        <v>60000</v>
      </c>
      <c r="I58" s="2">
        <f>D6*E6*(F6+G6+H6+I6)</f>
        <v>60000</v>
      </c>
      <c r="J58" s="2">
        <f>D6*E6*(F6+G6+H6+I6)</f>
        <v>60000</v>
      </c>
      <c r="K58" s="2">
        <f>D6*E6*(K6)</f>
        <v>60000</v>
      </c>
      <c r="L58" s="2">
        <f>D6*E6*(K6+L6)</f>
        <v>60000</v>
      </c>
      <c r="M58" s="2">
        <f>D6*E6*(K6+L6+M6)</f>
        <v>60000</v>
      </c>
      <c r="N58" s="2">
        <f>D6*E6*(K6+L6+M6+N6)</f>
        <v>60000</v>
      </c>
      <c r="O58" s="12">
        <f>D6*E6*(K6+L6+M6+N6+O6)</f>
        <v>60000</v>
      </c>
    </row>
    <row r="59" spans="1:15" x14ac:dyDescent="0.3">
      <c r="A59" s="7" t="str">
        <f t="shared" si="27"/>
        <v>Oil Drums 200kg Settling</v>
      </c>
      <c r="E59" s="9"/>
      <c r="F59" s="2">
        <f>D7*F7*E7</f>
        <v>1000</v>
      </c>
      <c r="G59" s="2">
        <f>D7*E7*(F7+G7)</f>
        <v>1000</v>
      </c>
      <c r="H59" s="2">
        <f>D7*E7*(F7+G7+H7)</f>
        <v>1000</v>
      </c>
      <c r="I59" s="2">
        <f>D7*E7*(F7+G7+H7+I7)</f>
        <v>1000</v>
      </c>
      <c r="J59" s="2">
        <f>D7*E7*(F7+G7+H7+I7)</f>
        <v>1000</v>
      </c>
      <c r="K59" s="2">
        <f t="shared" ref="K59:O60" si="28">J59</f>
        <v>1000</v>
      </c>
      <c r="L59" s="2">
        <f t="shared" si="28"/>
        <v>1000</v>
      </c>
      <c r="M59" s="2">
        <f t="shared" si="28"/>
        <v>1000</v>
      </c>
      <c r="N59" s="2">
        <f t="shared" si="28"/>
        <v>1000</v>
      </c>
      <c r="O59" s="12">
        <f t="shared" si="28"/>
        <v>1000</v>
      </c>
    </row>
    <row r="60" spans="1:15" x14ac:dyDescent="0.3">
      <c r="A60" s="7" t="str">
        <f t="shared" si="27"/>
        <v>Oil Drums 200kg Storage</v>
      </c>
      <c r="E60" s="9"/>
      <c r="F60" s="2">
        <f>D8*F8*E8</f>
        <v>1000</v>
      </c>
      <c r="G60" s="2">
        <f>D8*E8*(F8+G8)</f>
        <v>1000</v>
      </c>
      <c r="H60" s="2">
        <f>D8*E8*(F8+G8+H8)</f>
        <v>1000</v>
      </c>
      <c r="I60" s="2">
        <f>D8*E8*(F8+G8+H8+I8)</f>
        <v>1000</v>
      </c>
      <c r="J60" s="2">
        <f>D8*E8*(F8+G8+H8+I8)</f>
        <v>1000</v>
      </c>
      <c r="K60" s="2">
        <f t="shared" si="28"/>
        <v>1000</v>
      </c>
      <c r="L60" s="2">
        <f t="shared" si="28"/>
        <v>1000</v>
      </c>
      <c r="M60" s="2">
        <f t="shared" si="28"/>
        <v>1000</v>
      </c>
      <c r="N60" s="2">
        <f t="shared" si="28"/>
        <v>1000</v>
      </c>
      <c r="O60" s="12">
        <f t="shared" si="28"/>
        <v>1000</v>
      </c>
    </row>
    <row r="61" spans="1:15" x14ac:dyDescent="0.3">
      <c r="A61" s="7" t="str">
        <f t="shared" si="27"/>
        <v>Electronic scales</v>
      </c>
      <c r="E61" s="9"/>
      <c r="F61" s="2">
        <f t="shared" ref="F61:F76" si="29">D9*F9*E9</f>
        <v>24000</v>
      </c>
      <c r="G61" s="2">
        <f t="shared" ref="G61:G76" si="30">D9*E9*(F9+G9)</f>
        <v>24000</v>
      </c>
      <c r="H61" s="2">
        <f t="shared" ref="H61:H76" si="31">D9*E9*(F9+G9+H9)</f>
        <v>24000</v>
      </c>
      <c r="I61" s="2">
        <f t="shared" ref="I61:I76" si="32">D9*E9*(F9+G9+H9+I9)</f>
        <v>24000</v>
      </c>
      <c r="J61" s="2">
        <f t="shared" ref="J61:J76" si="33">D9*E9*(F9+G9+H9+I9)</f>
        <v>24000</v>
      </c>
      <c r="K61" s="2">
        <f>D9*E9*(K9)</f>
        <v>24000</v>
      </c>
      <c r="L61" s="2">
        <f>D9*E9*(K9+L9)</f>
        <v>24000</v>
      </c>
      <c r="M61" s="2">
        <f>D9*E9*(K9+J9+L9+M9)</f>
        <v>24000</v>
      </c>
      <c r="N61" s="2">
        <f>D9*E9*(K9+L9+M9+N9)</f>
        <v>24000</v>
      </c>
      <c r="O61" s="12">
        <f>D9*E9*(K9+L9+M9+N9+O9)</f>
        <v>24000</v>
      </c>
    </row>
    <row r="62" spans="1:15" x14ac:dyDescent="0.3">
      <c r="A62" s="7" t="str">
        <f t="shared" ref="A62:A76" si="34">A35</f>
        <v>Trolleys</v>
      </c>
      <c r="E62" s="9"/>
      <c r="F62" s="2">
        <f t="shared" si="29"/>
        <v>400</v>
      </c>
      <c r="G62" s="2">
        <f t="shared" si="30"/>
        <v>400</v>
      </c>
      <c r="H62" s="2">
        <f t="shared" si="31"/>
        <v>400</v>
      </c>
      <c r="I62" s="2">
        <f t="shared" si="32"/>
        <v>400</v>
      </c>
      <c r="J62" s="2">
        <f t="shared" si="33"/>
        <v>400</v>
      </c>
      <c r="K62" s="2">
        <f t="shared" ref="K62:K73" si="35">D10*E10*(F10+G10+H10+I10+J10+K10)</f>
        <v>400</v>
      </c>
      <c r="L62" s="2">
        <f t="shared" ref="L62:L73" si="36">D10*E10*(F10+G10+H10+I10+J10+K10+L10)</f>
        <v>400</v>
      </c>
      <c r="M62" s="2">
        <f t="shared" ref="M62:M75" si="37">D10*E10*(F10+G10+H10+I10+K10+J10+L10+M10)</f>
        <v>400</v>
      </c>
      <c r="N62" s="2">
        <f t="shared" ref="N62:N75" si="38">D10*E10*(F10+G10+H10+I10+J10+K10+L10+M10+N10)</f>
        <v>400</v>
      </c>
      <c r="O62" s="12">
        <f t="shared" ref="O62:O75" si="39">D10*E10*(F10+G10+H10+I10+J10+K10+L10+M10+N10+O10)</f>
        <v>400</v>
      </c>
    </row>
    <row r="63" spans="1:15" x14ac:dyDescent="0.3">
      <c r="A63" s="7" t="str">
        <f t="shared" si="34"/>
        <v>Oil decanting</v>
      </c>
      <c r="E63" s="9"/>
      <c r="F63" s="2">
        <f t="shared" si="29"/>
        <v>300</v>
      </c>
      <c r="G63" s="2">
        <f t="shared" si="30"/>
        <v>300</v>
      </c>
      <c r="H63" s="2">
        <f t="shared" si="31"/>
        <v>300</v>
      </c>
      <c r="I63" s="2">
        <f t="shared" si="32"/>
        <v>300</v>
      </c>
      <c r="J63" s="2">
        <f t="shared" si="33"/>
        <v>300</v>
      </c>
      <c r="K63" s="2">
        <f t="shared" si="35"/>
        <v>300</v>
      </c>
      <c r="L63" s="2">
        <f t="shared" si="36"/>
        <v>300</v>
      </c>
      <c r="M63" s="2">
        <f t="shared" si="37"/>
        <v>300</v>
      </c>
      <c r="N63" s="2">
        <f t="shared" si="38"/>
        <v>300</v>
      </c>
      <c r="O63" s="12">
        <f t="shared" si="39"/>
        <v>300</v>
      </c>
    </row>
    <row r="64" spans="1:15" x14ac:dyDescent="0.3">
      <c r="A64" s="7" t="str">
        <f t="shared" si="34"/>
        <v>stainless steel funnels</v>
      </c>
      <c r="E64" s="9"/>
      <c r="F64" s="2">
        <f t="shared" si="29"/>
        <v>150</v>
      </c>
      <c r="G64" s="2">
        <f t="shared" si="30"/>
        <v>150</v>
      </c>
      <c r="H64" s="2">
        <f t="shared" si="31"/>
        <v>150</v>
      </c>
      <c r="I64" s="2">
        <f t="shared" si="32"/>
        <v>150</v>
      </c>
      <c r="J64" s="2">
        <f t="shared" si="33"/>
        <v>150</v>
      </c>
      <c r="K64" s="2">
        <f t="shared" si="35"/>
        <v>150</v>
      </c>
      <c r="L64" s="2">
        <f t="shared" si="36"/>
        <v>150</v>
      </c>
      <c r="M64" s="2">
        <f t="shared" si="37"/>
        <v>150</v>
      </c>
      <c r="N64" s="2">
        <f t="shared" si="38"/>
        <v>150</v>
      </c>
      <c r="O64" s="12">
        <f t="shared" si="39"/>
        <v>150</v>
      </c>
    </row>
    <row r="65" spans="1:15" x14ac:dyDescent="0.3">
      <c r="A65" s="7" t="str">
        <f t="shared" si="34"/>
        <v>Nitrogen flushing</v>
      </c>
      <c r="E65" s="9"/>
      <c r="F65" s="2">
        <f t="shared" si="29"/>
        <v>100</v>
      </c>
      <c r="G65" s="2">
        <f t="shared" si="30"/>
        <v>100</v>
      </c>
      <c r="H65" s="2">
        <f t="shared" si="31"/>
        <v>100</v>
      </c>
      <c r="I65" s="2">
        <f t="shared" si="32"/>
        <v>100</v>
      </c>
      <c r="J65" s="2">
        <f t="shared" si="33"/>
        <v>100</v>
      </c>
      <c r="K65" s="2">
        <f t="shared" si="35"/>
        <v>100</v>
      </c>
      <c r="L65" s="2">
        <f t="shared" si="36"/>
        <v>100</v>
      </c>
      <c r="M65" s="2">
        <f t="shared" si="37"/>
        <v>100</v>
      </c>
      <c r="N65" s="2">
        <f t="shared" si="38"/>
        <v>100</v>
      </c>
      <c r="O65" s="12">
        <f t="shared" si="39"/>
        <v>100</v>
      </c>
    </row>
    <row r="66" spans="1:15" x14ac:dyDescent="0.3">
      <c r="A66" s="7" t="str">
        <f t="shared" si="34"/>
        <v>Field Sewing machine</v>
      </c>
      <c r="E66" s="9"/>
      <c r="F66" s="2">
        <f t="shared" si="29"/>
        <v>30000</v>
      </c>
      <c r="G66" s="2">
        <f t="shared" si="30"/>
        <v>30000</v>
      </c>
      <c r="H66" s="2">
        <f t="shared" si="31"/>
        <v>30000</v>
      </c>
      <c r="I66" s="2">
        <f t="shared" si="32"/>
        <v>30000</v>
      </c>
      <c r="J66" s="2">
        <f t="shared" si="33"/>
        <v>30000</v>
      </c>
      <c r="K66" s="2">
        <f>D14*E14*(J14+K14)</f>
        <v>30000</v>
      </c>
      <c r="L66" s="2">
        <f>D14*E14*(J14+K14+L14)</f>
        <v>30000</v>
      </c>
      <c r="M66" s="2">
        <f>D14*E14*(J14+L14+M14)</f>
        <v>30000</v>
      </c>
      <c r="N66" s="2">
        <f>D14*E14*(M14+N14)</f>
        <v>30000</v>
      </c>
      <c r="O66" s="12">
        <f>D14*E14*(M14+N14+O14)</f>
        <v>30000</v>
      </c>
    </row>
    <row r="67" spans="1:15" x14ac:dyDescent="0.3">
      <c r="A67" s="7" t="str">
        <f t="shared" si="34"/>
        <v>Factory sewing machine</v>
      </c>
      <c r="E67" s="9"/>
      <c r="F67" s="2">
        <f t="shared" si="29"/>
        <v>7500</v>
      </c>
      <c r="G67" s="2">
        <f t="shared" si="30"/>
        <v>7500</v>
      </c>
      <c r="H67" s="2">
        <f t="shared" si="31"/>
        <v>7500</v>
      </c>
      <c r="I67" s="2">
        <f t="shared" si="32"/>
        <v>7500</v>
      </c>
      <c r="J67" s="2">
        <f t="shared" si="33"/>
        <v>7500</v>
      </c>
      <c r="K67" s="2">
        <f>D15*E15*(J15+K15)</f>
        <v>7500</v>
      </c>
      <c r="L67" s="2">
        <f>D15*E15*(J15+K15+L15)</f>
        <v>7500</v>
      </c>
      <c r="M67" s="2">
        <f>D15*E15*(J15+L15+M15)</f>
        <v>7500</v>
      </c>
      <c r="N67" s="2">
        <f>D15*E15*(M15+N15)</f>
        <v>7500</v>
      </c>
      <c r="O67" s="12">
        <f>D15*E15*(M15+N15+O15)</f>
        <v>7500</v>
      </c>
    </row>
    <row r="68" spans="1:15" x14ac:dyDescent="0.3">
      <c r="A68" s="7" t="str">
        <f t="shared" si="34"/>
        <v>Electronic moisture detector</v>
      </c>
      <c r="E68" s="9"/>
      <c r="F68" s="2">
        <f t="shared" si="29"/>
        <v>1500</v>
      </c>
      <c r="G68" s="2">
        <f t="shared" si="30"/>
        <v>1500</v>
      </c>
      <c r="H68" s="2">
        <f t="shared" si="31"/>
        <v>1500</v>
      </c>
      <c r="I68" s="2">
        <f t="shared" si="32"/>
        <v>1500</v>
      </c>
      <c r="J68" s="2">
        <f t="shared" si="33"/>
        <v>1500</v>
      </c>
      <c r="K68" s="2">
        <f t="shared" si="35"/>
        <v>1500</v>
      </c>
      <c r="L68" s="2">
        <f t="shared" si="36"/>
        <v>1500</v>
      </c>
      <c r="M68" s="2">
        <f t="shared" si="37"/>
        <v>1500</v>
      </c>
      <c r="N68" s="2">
        <f t="shared" si="38"/>
        <v>1500</v>
      </c>
      <c r="O68" s="12">
        <f t="shared" si="39"/>
        <v>1500</v>
      </c>
    </row>
    <row r="69" spans="1:15" x14ac:dyDescent="0.3">
      <c r="A69" s="7" t="str">
        <f t="shared" si="34"/>
        <v>Motor cycles 125cc Yamaha</v>
      </c>
      <c r="E69" s="9"/>
      <c r="F69" s="2">
        <f t="shared" si="29"/>
        <v>125000</v>
      </c>
      <c r="G69" s="2">
        <f t="shared" si="30"/>
        <v>250000</v>
      </c>
      <c r="H69" s="2">
        <f t="shared" si="31"/>
        <v>250000</v>
      </c>
      <c r="I69" s="2">
        <f t="shared" si="32"/>
        <v>250000</v>
      </c>
      <c r="J69" s="2">
        <f t="shared" si="33"/>
        <v>250000</v>
      </c>
      <c r="K69" s="2">
        <f>D17*E17*(J17+K17)</f>
        <v>250000</v>
      </c>
      <c r="L69" s="2">
        <f>D17*E17*(J17+K17+L17)</f>
        <v>250000</v>
      </c>
      <c r="M69" s="2">
        <f>D17*E17*(J17+L17+M17)</f>
        <v>125000</v>
      </c>
      <c r="N69" s="2">
        <f>D17*E17*(M17+N17)</f>
        <v>250000</v>
      </c>
      <c r="O69" s="12">
        <f>D17*E17*(M17+N17+O17)</f>
        <v>250000</v>
      </c>
    </row>
    <row r="70" spans="1:15" x14ac:dyDescent="0.3">
      <c r="A70" s="7" t="str">
        <f t="shared" si="34"/>
        <v>High pressure cleaning hoses</v>
      </c>
      <c r="E70" s="9"/>
      <c r="F70" s="2">
        <f t="shared" si="29"/>
        <v>4000</v>
      </c>
      <c r="G70" s="2">
        <f t="shared" si="30"/>
        <v>4000</v>
      </c>
      <c r="H70" s="2">
        <f t="shared" si="31"/>
        <v>4000</v>
      </c>
      <c r="I70" s="2">
        <f t="shared" si="32"/>
        <v>4000</v>
      </c>
      <c r="J70" s="2">
        <f t="shared" si="33"/>
        <v>4000</v>
      </c>
      <c r="K70" s="2">
        <f>D18*E18*(J18+K18)</f>
        <v>4000</v>
      </c>
      <c r="L70" s="2">
        <f>D18*E18*(J18+K18+L18)</f>
        <v>4000</v>
      </c>
      <c r="M70" s="2">
        <f>D18*E18*(K18+J18+L18+M18)</f>
        <v>4000</v>
      </c>
      <c r="N70" s="2">
        <f>D18*E18*(J18+K18+L18+M18+N18)</f>
        <v>4000</v>
      </c>
      <c r="O70" s="12">
        <f>D18*E18*(J18+K18+L18+M18+N18+O18)</f>
        <v>4000</v>
      </c>
    </row>
    <row r="71" spans="1:15" x14ac:dyDescent="0.3">
      <c r="A71" s="7" t="str">
        <f t="shared" si="34"/>
        <v>6 kg Dry powderFire extinguishers</v>
      </c>
      <c r="E71" s="9"/>
      <c r="F71" s="2">
        <f t="shared" si="29"/>
        <v>2000</v>
      </c>
      <c r="G71" s="2">
        <f t="shared" si="30"/>
        <v>2000</v>
      </c>
      <c r="H71" s="2">
        <f t="shared" si="31"/>
        <v>2000</v>
      </c>
      <c r="I71" s="2">
        <f t="shared" si="32"/>
        <v>2000</v>
      </c>
      <c r="J71" s="2">
        <f t="shared" si="33"/>
        <v>2000</v>
      </c>
      <c r="K71" s="2">
        <f t="shared" si="35"/>
        <v>2000</v>
      </c>
      <c r="L71" s="2">
        <f t="shared" si="36"/>
        <v>2000</v>
      </c>
      <c r="M71" s="2">
        <f t="shared" si="37"/>
        <v>2000</v>
      </c>
      <c r="N71" s="2">
        <f t="shared" si="38"/>
        <v>2000</v>
      </c>
      <c r="O71" s="12">
        <f t="shared" si="39"/>
        <v>2000</v>
      </c>
    </row>
    <row r="72" spans="1:15" x14ac:dyDescent="0.3">
      <c r="A72" s="7" t="str">
        <f t="shared" si="34"/>
        <v>5 kg CO2 Fire extinguishers</v>
      </c>
      <c r="E72" s="9"/>
      <c r="F72" s="2">
        <f t="shared" si="29"/>
        <v>3000</v>
      </c>
      <c r="G72" s="2">
        <f t="shared" si="30"/>
        <v>3000</v>
      </c>
      <c r="H72" s="2">
        <f t="shared" si="31"/>
        <v>3000</v>
      </c>
      <c r="I72" s="2">
        <f t="shared" si="32"/>
        <v>3000</v>
      </c>
      <c r="J72" s="2">
        <f t="shared" si="33"/>
        <v>3000</v>
      </c>
      <c r="K72" s="2">
        <f t="shared" si="35"/>
        <v>3000</v>
      </c>
      <c r="L72" s="2">
        <f t="shared" si="36"/>
        <v>3000</v>
      </c>
      <c r="M72" s="2">
        <f t="shared" si="37"/>
        <v>3000</v>
      </c>
      <c r="N72" s="2">
        <f t="shared" si="38"/>
        <v>3000</v>
      </c>
      <c r="O72" s="12">
        <f t="shared" si="39"/>
        <v>3000</v>
      </c>
    </row>
    <row r="73" spans="1:15" x14ac:dyDescent="0.3">
      <c r="A73" s="7" t="str">
        <f t="shared" si="34"/>
        <v>Filing cabinets</v>
      </c>
      <c r="E73" s="9"/>
      <c r="F73" s="2">
        <f t="shared" si="29"/>
        <v>2000</v>
      </c>
      <c r="G73" s="2">
        <f t="shared" si="30"/>
        <v>2000</v>
      </c>
      <c r="H73" s="2">
        <f t="shared" si="31"/>
        <v>2000</v>
      </c>
      <c r="I73" s="2">
        <f t="shared" si="32"/>
        <v>2000</v>
      </c>
      <c r="J73" s="2">
        <f t="shared" si="33"/>
        <v>2000</v>
      </c>
      <c r="K73" s="2">
        <f t="shared" si="35"/>
        <v>2000</v>
      </c>
      <c r="L73" s="2">
        <f t="shared" si="36"/>
        <v>2000</v>
      </c>
      <c r="M73" s="2">
        <f t="shared" si="37"/>
        <v>2000</v>
      </c>
      <c r="N73" s="2">
        <f t="shared" si="38"/>
        <v>2000</v>
      </c>
      <c r="O73" s="12">
        <f t="shared" si="39"/>
        <v>2000</v>
      </c>
    </row>
    <row r="74" spans="1:15" x14ac:dyDescent="0.3">
      <c r="A74" s="7" t="str">
        <f t="shared" si="34"/>
        <v>Computers</v>
      </c>
      <c r="B74" t="str">
        <f>B47</f>
        <v>Desk top</v>
      </c>
      <c r="E74" s="9"/>
      <c r="F74" s="2">
        <f t="shared" si="29"/>
        <v>7500</v>
      </c>
      <c r="G74" s="2">
        <f t="shared" si="30"/>
        <v>7500</v>
      </c>
      <c r="H74" s="2">
        <f t="shared" si="31"/>
        <v>7500</v>
      </c>
      <c r="I74" s="2">
        <f t="shared" si="32"/>
        <v>7500</v>
      </c>
      <c r="J74" s="2">
        <f t="shared" si="33"/>
        <v>7500</v>
      </c>
      <c r="K74" s="2">
        <f>D22*E22*(J22+K22)</f>
        <v>7500</v>
      </c>
      <c r="L74" s="2">
        <f>D22*E22*(J22+K22+L22)</f>
        <v>7500</v>
      </c>
      <c r="M74" s="2">
        <f>D22*E22*(J22+L22+M22)</f>
        <v>7500</v>
      </c>
      <c r="N74" s="2">
        <f>D22*E22*(M22+N22)</f>
        <v>7500</v>
      </c>
      <c r="O74" s="12">
        <f>D22*E22*(N22+O22)</f>
        <v>7500</v>
      </c>
    </row>
    <row r="75" spans="1:15" x14ac:dyDescent="0.3">
      <c r="A75" s="7" t="str">
        <f t="shared" si="34"/>
        <v xml:space="preserve"> </v>
      </c>
      <c r="B75" t="str">
        <f>B48</f>
        <v>Lap top</v>
      </c>
      <c r="E75" s="9"/>
      <c r="F75" s="2">
        <f t="shared" si="29"/>
        <v>7500</v>
      </c>
      <c r="G75" s="2">
        <f t="shared" si="30"/>
        <v>7500</v>
      </c>
      <c r="H75" s="2">
        <f t="shared" si="31"/>
        <v>7500</v>
      </c>
      <c r="I75" s="2">
        <f t="shared" si="32"/>
        <v>7500</v>
      </c>
      <c r="J75" s="2">
        <f t="shared" si="33"/>
        <v>7500</v>
      </c>
      <c r="K75" s="2">
        <f>D23*E23*(J23+K23)</f>
        <v>7500</v>
      </c>
      <c r="L75" s="2">
        <f>D23*E23*(J23+K23+L23)</f>
        <v>7500</v>
      </c>
      <c r="M75" s="2">
        <f t="shared" si="37"/>
        <v>15000</v>
      </c>
      <c r="N75" s="2">
        <f t="shared" si="38"/>
        <v>22500</v>
      </c>
      <c r="O75" s="12">
        <f t="shared" si="39"/>
        <v>22500</v>
      </c>
    </row>
    <row r="76" spans="1:15" x14ac:dyDescent="0.3">
      <c r="A76" s="7" t="str">
        <f t="shared" si="34"/>
        <v xml:space="preserve"> </v>
      </c>
      <c r="B76" t="str">
        <f>B49</f>
        <v>Printer/scanner</v>
      </c>
      <c r="E76" s="9"/>
      <c r="F76" s="2">
        <f t="shared" si="29"/>
        <v>3750</v>
      </c>
      <c r="G76" s="2">
        <f t="shared" si="30"/>
        <v>3750</v>
      </c>
      <c r="H76" s="2">
        <f t="shared" si="31"/>
        <v>3750</v>
      </c>
      <c r="I76" s="2">
        <f t="shared" si="32"/>
        <v>3750</v>
      </c>
      <c r="J76" s="2">
        <f t="shared" si="33"/>
        <v>3750</v>
      </c>
      <c r="K76" s="2">
        <f>D24*E24*(J24+K24)</f>
        <v>3750</v>
      </c>
      <c r="L76" s="2">
        <f>D24*E24*(J24+K24+L24)</f>
        <v>3750</v>
      </c>
      <c r="M76" s="2">
        <f>D24*E24*(J24+L24+M24)</f>
        <v>3750</v>
      </c>
      <c r="N76" s="2">
        <f>D24*E24*(N24)</f>
        <v>3750</v>
      </c>
      <c r="O76" s="12">
        <f>D24*E24*(N24+O24)</f>
        <v>3750</v>
      </c>
    </row>
    <row r="77" spans="1:15" x14ac:dyDescent="0.3">
      <c r="A77" s="7"/>
      <c r="E77" s="9"/>
      <c r="O77" s="9"/>
    </row>
    <row r="78" spans="1:15" x14ac:dyDescent="0.3">
      <c r="A78" s="42" t="s">
        <v>293</v>
      </c>
      <c r="B78" s="43"/>
      <c r="C78" s="43"/>
      <c r="D78" s="43"/>
      <c r="E78" s="46"/>
      <c r="F78" s="44">
        <f>SUM(F56:F76)</f>
        <v>341700</v>
      </c>
      <c r="G78" s="44">
        <f t="shared" ref="G78:O78" si="40">SUM(G56:G76)</f>
        <v>466700</v>
      </c>
      <c r="H78" s="44">
        <f t="shared" si="40"/>
        <v>526700</v>
      </c>
      <c r="I78" s="44">
        <f t="shared" si="40"/>
        <v>526700</v>
      </c>
      <c r="J78" s="44">
        <f t="shared" si="40"/>
        <v>526700</v>
      </c>
      <c r="K78" s="44">
        <f t="shared" si="40"/>
        <v>526700</v>
      </c>
      <c r="L78" s="44">
        <f t="shared" si="40"/>
        <v>526700</v>
      </c>
      <c r="M78" s="44">
        <f t="shared" si="40"/>
        <v>469200</v>
      </c>
      <c r="N78" s="44">
        <f t="shared" si="40"/>
        <v>601700</v>
      </c>
      <c r="O78" s="45">
        <f t="shared" si="40"/>
        <v>601700</v>
      </c>
    </row>
    <row r="80" spans="1:15" x14ac:dyDescent="0.3">
      <c r="A80" s="62" t="s">
        <v>461</v>
      </c>
      <c r="F80" s="65">
        <f>F78</f>
        <v>341700</v>
      </c>
      <c r="G80" s="65">
        <f>F80+G78</f>
        <v>808400</v>
      </c>
      <c r="H80" s="65">
        <f t="shared" ref="H80:O80" si="41">G80+H78</f>
        <v>1335100</v>
      </c>
      <c r="I80" s="65">
        <f t="shared" si="41"/>
        <v>1861800</v>
      </c>
      <c r="J80" s="65">
        <f t="shared" si="41"/>
        <v>2388500</v>
      </c>
      <c r="K80" s="65">
        <f t="shared" si="41"/>
        <v>2915200</v>
      </c>
      <c r="L80" s="65">
        <f t="shared" si="41"/>
        <v>3441900</v>
      </c>
      <c r="M80" s="65">
        <f t="shared" si="41"/>
        <v>3911100</v>
      </c>
      <c r="N80" s="65">
        <f t="shared" si="41"/>
        <v>4512800</v>
      </c>
      <c r="O80" s="65">
        <f t="shared" si="41"/>
        <v>5114500</v>
      </c>
    </row>
  </sheetData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 Balance Sheet</vt:lpstr>
      <vt:lpstr>2. Income Statement</vt:lpstr>
      <vt:lpstr>3. Cash Flows</vt:lpstr>
      <vt:lpstr>4. Revenues</vt:lpstr>
      <vt:lpstr>5. Marketing Costs</vt:lpstr>
      <vt:lpstr>6 Administration costs</vt:lpstr>
      <vt:lpstr>7. Operational costs</vt:lpstr>
      <vt:lpstr>8 Production planning</vt:lpstr>
      <vt:lpstr>9. Investment Equipment</vt:lpstr>
      <vt:lpstr>10. Assumptions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Stevens</dc:creator>
  <cp:lastModifiedBy>JBR</cp:lastModifiedBy>
  <dcterms:created xsi:type="dcterms:W3CDTF">2019-03-08T07:52:59Z</dcterms:created>
  <dcterms:modified xsi:type="dcterms:W3CDTF">2023-06-05T11:46:23Z</dcterms:modified>
</cp:coreProperties>
</file>